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en_skoroszyt"/>
  <mc:AlternateContent xmlns:mc="http://schemas.openxmlformats.org/markup-compatibility/2006">
    <mc:Choice Requires="x15">
      <x15ac:absPath xmlns:x15ac="http://schemas.microsoft.com/office/spreadsheetml/2010/11/ac" url="https://d.docs.live.net/19af4369354790df/Documents/Pro/3. Damerdji Holding LLC/6. Projects/ALT Infrastructure/Financials/"/>
    </mc:Choice>
  </mc:AlternateContent>
  <xr:revisionPtr revIDLastSave="2587" documentId="8_{3F70C018-9DDB-4BE1-8A9A-18BDEB895BFF}" xr6:coauthVersionLast="47" xr6:coauthVersionMax="47" xr10:uidLastSave="{D37DB9CE-9080-411D-810F-CC32020F2379}"/>
  <bookViews>
    <workbookView xWindow="-120" yWindow="-120" windowWidth="51840" windowHeight="21120" tabRatio="779" xr2:uid="{00000000-000D-0000-FFFF-FFFF00000000}"/>
  </bookViews>
  <sheets>
    <sheet name="Executive Summary" sheetId="28" r:id="rId1"/>
    <sheet name="Assumptions" sheetId="27" r:id="rId2"/>
    <sheet name="DCF Analysis" sheetId="22" r:id="rId3"/>
    <sheet name="IRR Analysis" sheetId="23" r:id="rId4"/>
    <sheet name="Sensitivity" sheetId="24" r:id="rId5"/>
    <sheet name="Investment Metrics" sheetId="25" r:id="rId6"/>
    <sheet name="Analysis" sheetId="20" r:id="rId7"/>
    <sheet name="BS" sheetId="1" r:id="rId8"/>
    <sheet name="P&amp;L" sheetId="5" r:id="rId9"/>
    <sheet name="CF" sheetId="6" r:id="rId10"/>
    <sheet name="NWC" sheetId="4" r:id="rId11"/>
    <sheet name="D&amp;A CAPEX" sheetId="8" r:id="rId12"/>
    <sheet name="Incomes" sheetId="12" r:id="rId13"/>
    <sheet name="Costs" sheetId="16" r:id="rId14"/>
    <sheet name="Financing" sheetId="10" r:id="rId15"/>
    <sheet name="staff" sheetId="18" r:id="rId16"/>
    <sheet name="Leasing" sheetId="19" r:id="rId17"/>
    <sheet name="Notes" sheetId="26" r:id="rId18"/>
  </sheets>
  <calcPr calcId="191028" iterate="1" concurrentCalc="0"/>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 i="24" l="1" a="1"/>
  <c r="C36" i="24"/>
  <c r="D36" i="24" a="1"/>
  <c r="D36" i="24"/>
  <c r="E36" i="24" a="1"/>
  <c r="E36" i="24"/>
  <c r="F36" i="24" a="1"/>
  <c r="F36" i="24"/>
  <c r="G36" i="24" a="1"/>
  <c r="G36" i="24"/>
  <c r="H36" i="24" a="1"/>
  <c r="H36" i="24"/>
  <c r="I36" i="24" a="1"/>
  <c r="I36" i="24"/>
  <c r="C37" i="24" a="1"/>
  <c r="C37" i="24"/>
  <c r="D37" i="24" a="1"/>
  <c r="D37" i="24"/>
  <c r="E37" i="24" a="1"/>
  <c r="E37" i="24"/>
  <c r="F37" i="24" a="1"/>
  <c r="F37" i="24"/>
  <c r="G37" i="24" a="1"/>
  <c r="G37" i="24"/>
  <c r="H37" i="24" a="1"/>
  <c r="H37" i="24"/>
  <c r="I37" i="24" a="1"/>
  <c r="I37" i="24"/>
  <c r="C38" i="24" a="1"/>
  <c r="C38" i="24"/>
  <c r="D38" i="24" a="1"/>
  <c r="D38" i="24"/>
  <c r="E38" i="24" a="1"/>
  <c r="E38" i="24"/>
  <c r="F38" i="24" a="1"/>
  <c r="F38" i="24"/>
  <c r="G38" i="24" a="1"/>
  <c r="G38" i="24"/>
  <c r="H38" i="24" a="1"/>
  <c r="H38" i="24"/>
  <c r="I38" i="24" a="1"/>
  <c r="I38" i="24"/>
  <c r="C39" i="24" a="1"/>
  <c r="C39" i="24"/>
  <c r="D39" i="24" a="1"/>
  <c r="D39" i="24"/>
  <c r="E39" i="24" a="1"/>
  <c r="E39" i="24"/>
  <c r="F39" i="24" a="1"/>
  <c r="F39" i="24"/>
  <c r="G39" i="24" a="1"/>
  <c r="G39" i="24"/>
  <c r="H39" i="24" a="1"/>
  <c r="H39" i="24"/>
  <c r="I39" i="24" a="1"/>
  <c r="I39" i="24"/>
  <c r="C40" i="24" a="1"/>
  <c r="C40" i="24"/>
  <c r="D40" i="24" a="1"/>
  <c r="D40" i="24"/>
  <c r="E40" i="24" a="1"/>
  <c r="E40" i="24"/>
  <c r="F40" i="24" a="1"/>
  <c r="F40" i="24"/>
  <c r="G40" i="24" a="1"/>
  <c r="G40" i="24"/>
  <c r="H40" i="24" a="1"/>
  <c r="H40" i="24"/>
  <c r="I40" i="24" a="1"/>
  <c r="I40" i="24"/>
  <c r="C41" i="24" a="1"/>
  <c r="C41" i="24"/>
  <c r="D41" i="24" a="1"/>
  <c r="D41" i="24"/>
  <c r="E41" i="24" a="1"/>
  <c r="E41" i="24"/>
  <c r="F41" i="24" a="1"/>
  <c r="F41" i="24"/>
  <c r="G41" i="24" a="1"/>
  <c r="G41" i="24"/>
  <c r="H41" i="24" a="1"/>
  <c r="H41" i="24"/>
  <c r="I41" i="24" a="1"/>
  <c r="I41" i="24"/>
  <c r="C42" i="24" a="1"/>
  <c r="C42" i="24"/>
  <c r="D42" i="24" a="1"/>
  <c r="D42" i="24"/>
  <c r="E42" i="24" a="1"/>
  <c r="E42" i="24"/>
  <c r="F42" i="24" a="1"/>
  <c r="F42" i="24"/>
  <c r="G42" i="24" a="1"/>
  <c r="G42" i="24"/>
  <c r="H42" i="24" a="1"/>
  <c r="H42" i="24"/>
  <c r="I42" i="24" a="1"/>
  <c r="I42" i="24"/>
  <c r="B21" i="25"/>
  <c r="K5" i="24"/>
  <c r="G5" i="24"/>
  <c r="L71" i="28"/>
  <c r="K71" i="28"/>
  <c r="J71" i="28"/>
  <c r="I71" i="28"/>
  <c r="H71" i="28"/>
  <c r="G71" i="28"/>
  <c r="F71" i="28"/>
  <c r="E71" i="28"/>
  <c r="D71" i="28"/>
  <c r="C71" i="28"/>
  <c r="L69" i="28"/>
  <c r="K69" i="28"/>
  <c r="J69" i="28"/>
  <c r="I69" i="28"/>
  <c r="H69" i="28"/>
  <c r="G69" i="28"/>
  <c r="F69" i="28"/>
  <c r="E69" i="28"/>
  <c r="D69" i="28"/>
  <c r="C69" i="28"/>
  <c r="L68" i="28"/>
  <c r="K68" i="28"/>
  <c r="J68" i="28"/>
  <c r="I68" i="28"/>
  <c r="H68" i="28"/>
  <c r="G68" i="28"/>
  <c r="F68" i="28"/>
  <c r="E68" i="28"/>
  <c r="D68" i="28"/>
  <c r="C68" i="28"/>
  <c r="H67" i="28"/>
  <c r="G67" i="28"/>
  <c r="L66" i="28"/>
  <c r="K66" i="28"/>
  <c r="J66" i="28"/>
  <c r="I66" i="28"/>
  <c r="H66" i="28"/>
  <c r="G66" i="28"/>
  <c r="F66" i="28"/>
  <c r="E66" i="28"/>
  <c r="D66" i="28"/>
  <c r="C65" i="28"/>
  <c r="B34" i="22"/>
  <c r="K51" i="8"/>
  <c r="K50" i="8"/>
  <c r="K44" i="8"/>
  <c r="K52" i="8"/>
  <c r="F28" i="22"/>
  <c r="H50" i="8"/>
  <c r="H81" i="8"/>
  <c r="H83" i="8"/>
  <c r="I80" i="8"/>
  <c r="I50" i="8"/>
  <c r="I81" i="8"/>
  <c r="I82" i="8"/>
  <c r="I83" i="8"/>
  <c r="J80" i="8"/>
  <c r="J50" i="8"/>
  <c r="J81" i="8"/>
  <c r="J82" i="8"/>
  <c r="J83" i="8"/>
  <c r="K80" i="8"/>
  <c r="K82" i="8"/>
  <c r="K35" i="8"/>
  <c r="K32" i="8"/>
  <c r="K38" i="8"/>
  <c r="G16" i="20"/>
  <c r="G15" i="20"/>
  <c r="G14" i="20"/>
  <c r="G24" i="20"/>
  <c r="G26" i="20"/>
  <c r="F18" i="22"/>
  <c r="F19" i="22"/>
  <c r="F20" i="22"/>
  <c r="J35" i="8"/>
  <c r="J32" i="8"/>
  <c r="J38" i="8"/>
  <c r="F16" i="20"/>
  <c r="F15" i="20"/>
  <c r="F14" i="20"/>
  <c r="F24" i="20"/>
  <c r="F26" i="20"/>
  <c r="E18" i="22"/>
  <c r="E19" i="22"/>
  <c r="E20" i="22"/>
  <c r="I35" i="8"/>
  <c r="I32" i="8"/>
  <c r="I38" i="8"/>
  <c r="E16" i="20"/>
  <c r="E15" i="20"/>
  <c r="E14" i="20"/>
  <c r="E24" i="20"/>
  <c r="E26" i="20"/>
  <c r="D18" i="22"/>
  <c r="D19" i="22"/>
  <c r="D20" i="22"/>
  <c r="D22" i="22"/>
  <c r="E21" i="22"/>
  <c r="E22" i="22"/>
  <c r="F21" i="22"/>
  <c r="F22" i="22"/>
  <c r="F23" i="22"/>
  <c r="F24" i="22"/>
  <c r="F26" i="22"/>
  <c r="F27" i="22"/>
  <c r="J16" i="5"/>
  <c r="J15" i="5"/>
  <c r="J9" i="4"/>
  <c r="J13" i="4"/>
  <c r="I16" i="5"/>
  <c r="I15" i="5"/>
  <c r="I9" i="4"/>
  <c r="I13" i="4"/>
  <c r="J18" i="4"/>
  <c r="J19" i="4"/>
  <c r="F29" i="22"/>
  <c r="F30" i="22"/>
  <c r="F34" i="22"/>
  <c r="K81" i="8"/>
  <c r="K83" i="8"/>
  <c r="L80" i="8"/>
  <c r="L82" i="8"/>
  <c r="L35" i="8"/>
  <c r="L32" i="8"/>
  <c r="L38" i="8"/>
  <c r="H16" i="20"/>
  <c r="H15" i="20"/>
  <c r="H14" i="20"/>
  <c r="H24" i="20"/>
  <c r="H26" i="20"/>
  <c r="G18" i="22"/>
  <c r="G19" i="22"/>
  <c r="G20" i="22"/>
  <c r="G21" i="22"/>
  <c r="G22" i="22"/>
  <c r="G23" i="22"/>
  <c r="G24" i="22"/>
  <c r="G26" i="22"/>
  <c r="G27" i="22"/>
  <c r="L51" i="8"/>
  <c r="L50" i="8"/>
  <c r="L44" i="8"/>
  <c r="L52" i="8"/>
  <c r="G28" i="22"/>
  <c r="K16" i="5"/>
  <c r="K15" i="5"/>
  <c r="K9" i="4"/>
  <c r="K13" i="4"/>
  <c r="K18" i="4"/>
  <c r="K19" i="4"/>
  <c r="G29" i="22"/>
  <c r="G30" i="22"/>
  <c r="G34" i="22"/>
  <c r="L81" i="8"/>
  <c r="L83" i="8"/>
  <c r="M80" i="8"/>
  <c r="M82" i="8"/>
  <c r="M35" i="8"/>
  <c r="M32" i="8"/>
  <c r="M38" i="8"/>
  <c r="I16" i="20"/>
  <c r="I15" i="20"/>
  <c r="I14" i="20"/>
  <c r="I24" i="20"/>
  <c r="I26" i="20"/>
  <c r="H18" i="22"/>
  <c r="H19" i="22"/>
  <c r="H20" i="22"/>
  <c r="H21" i="22"/>
  <c r="H22" i="22"/>
  <c r="H23" i="22"/>
  <c r="H24" i="22"/>
  <c r="H26" i="22"/>
  <c r="H27" i="22"/>
  <c r="L16" i="5"/>
  <c r="L15" i="5"/>
  <c r="L9" i="4"/>
  <c r="L13" i="4"/>
  <c r="L18" i="4"/>
  <c r="L19" i="4"/>
  <c r="H29" i="22"/>
  <c r="M50" i="8"/>
  <c r="M44" i="8"/>
  <c r="M52" i="8"/>
  <c r="H28" i="22"/>
  <c r="H30" i="22"/>
  <c r="H34" i="22"/>
  <c r="M81" i="8"/>
  <c r="M83" i="8"/>
  <c r="N80" i="8"/>
  <c r="N82" i="8"/>
  <c r="N35" i="8"/>
  <c r="N32" i="8"/>
  <c r="N38" i="8"/>
  <c r="J16" i="20"/>
  <c r="J15" i="20"/>
  <c r="J14" i="20"/>
  <c r="J24" i="20"/>
  <c r="J26" i="20"/>
  <c r="I18" i="22"/>
  <c r="I19" i="22"/>
  <c r="I20" i="22"/>
  <c r="I21" i="22"/>
  <c r="I22" i="22"/>
  <c r="I23" i="22"/>
  <c r="I24" i="22"/>
  <c r="I26" i="22"/>
  <c r="I27" i="22"/>
  <c r="M16" i="5"/>
  <c r="M15" i="5"/>
  <c r="M9" i="4"/>
  <c r="M13" i="4"/>
  <c r="M18" i="4"/>
  <c r="M19" i="4"/>
  <c r="I29" i="22"/>
  <c r="N50" i="8"/>
  <c r="N44" i="8"/>
  <c r="N52" i="8"/>
  <c r="I28" i="22"/>
  <c r="I30" i="22"/>
  <c r="I34" i="22"/>
  <c r="N81" i="8"/>
  <c r="N83" i="8"/>
  <c r="O80" i="8"/>
  <c r="O82" i="8"/>
  <c r="O35" i="8"/>
  <c r="O32" i="8"/>
  <c r="O38" i="8"/>
  <c r="K16" i="20"/>
  <c r="K15" i="20"/>
  <c r="K14" i="20"/>
  <c r="K24" i="20"/>
  <c r="K26" i="20"/>
  <c r="J18" i="22"/>
  <c r="J19" i="22"/>
  <c r="J20" i="22"/>
  <c r="J21" i="22"/>
  <c r="J22" i="22"/>
  <c r="J23" i="22"/>
  <c r="J24" i="22"/>
  <c r="J26" i="22"/>
  <c r="J27" i="22"/>
  <c r="N16" i="5"/>
  <c r="N15" i="5"/>
  <c r="N9" i="4"/>
  <c r="N13" i="4"/>
  <c r="N18" i="4"/>
  <c r="N19" i="4"/>
  <c r="J29" i="22"/>
  <c r="O50" i="8"/>
  <c r="O44" i="8"/>
  <c r="O52" i="8"/>
  <c r="J28" i="22"/>
  <c r="J30" i="22"/>
  <c r="J34" i="22"/>
  <c r="O81" i="8"/>
  <c r="O83" i="8"/>
  <c r="P80" i="8"/>
  <c r="P82" i="8"/>
  <c r="P35" i="8"/>
  <c r="P32" i="8"/>
  <c r="P38" i="8"/>
  <c r="L16" i="20"/>
  <c r="L15" i="20"/>
  <c r="L14" i="20"/>
  <c r="L24" i="20"/>
  <c r="L26" i="20"/>
  <c r="K18" i="22"/>
  <c r="K19" i="22"/>
  <c r="K20" i="22"/>
  <c r="K21" i="22"/>
  <c r="K22" i="22"/>
  <c r="K23" i="22"/>
  <c r="K24" i="22"/>
  <c r="K26" i="22"/>
  <c r="K27" i="22"/>
  <c r="O16" i="5"/>
  <c r="O15" i="5"/>
  <c r="O9" i="4"/>
  <c r="O13" i="4"/>
  <c r="O18" i="4"/>
  <c r="O19" i="4"/>
  <c r="K29" i="22"/>
  <c r="P50" i="8"/>
  <c r="P44" i="8"/>
  <c r="P52" i="8"/>
  <c r="K28" i="22"/>
  <c r="K30" i="22"/>
  <c r="K34" i="22"/>
  <c r="H44" i="8"/>
  <c r="H52" i="8"/>
  <c r="C28" i="22"/>
  <c r="C30" i="22"/>
  <c r="C34" i="22"/>
  <c r="D23" i="22"/>
  <c r="D24" i="22"/>
  <c r="D26" i="22"/>
  <c r="D27" i="22"/>
  <c r="I44" i="8"/>
  <c r="I52" i="8"/>
  <c r="D28" i="22"/>
  <c r="H16" i="5"/>
  <c r="H15" i="5"/>
  <c r="H9" i="4"/>
  <c r="H13" i="4"/>
  <c r="H18" i="4"/>
  <c r="H19" i="4"/>
  <c r="D29" i="22"/>
  <c r="D30" i="22"/>
  <c r="D34" i="22"/>
  <c r="E23" i="22"/>
  <c r="E24" i="22"/>
  <c r="E26" i="22"/>
  <c r="E27" i="22"/>
  <c r="J44" i="8"/>
  <c r="J52" i="8"/>
  <c r="E28" i="22"/>
  <c r="I18" i="4"/>
  <c r="I19" i="4"/>
  <c r="E29" i="22"/>
  <c r="E30" i="22"/>
  <c r="E34" i="22"/>
  <c r="B37" i="22"/>
  <c r="F13" i="23"/>
  <c r="F21" i="23"/>
  <c r="F26" i="23"/>
  <c r="G13" i="23"/>
  <c r="G21" i="23"/>
  <c r="G26" i="23"/>
  <c r="H13" i="23"/>
  <c r="H21" i="23"/>
  <c r="H26" i="23"/>
  <c r="I13" i="23"/>
  <c r="I21" i="23"/>
  <c r="I26" i="23"/>
  <c r="J13" i="23"/>
  <c r="J21" i="23"/>
  <c r="J26" i="23"/>
  <c r="B49" i="22"/>
  <c r="B51" i="22"/>
  <c r="B53" i="22"/>
  <c r="B63" i="22"/>
  <c r="K13" i="23"/>
  <c r="K21" i="23"/>
  <c r="K26" i="23"/>
  <c r="C13" i="23"/>
  <c r="C21" i="23"/>
  <c r="C26" i="23"/>
  <c r="D13" i="23"/>
  <c r="D21" i="23"/>
  <c r="D26" i="23"/>
  <c r="E13" i="23"/>
  <c r="E21" i="23"/>
  <c r="E26" i="23"/>
  <c r="B29" i="23"/>
  <c r="B28" i="28"/>
  <c r="B16" i="23"/>
  <c r="B27" i="28"/>
  <c r="B29" i="28"/>
  <c r="J35" i="6"/>
  <c r="J34" i="6"/>
  <c r="J44" i="6"/>
  <c r="J75" i="6"/>
  <c r="J27" i="5"/>
  <c r="J37" i="5"/>
  <c r="J59" i="5"/>
  <c r="G29" i="20"/>
  <c r="F29" i="20"/>
  <c r="E29" i="20"/>
  <c r="F28" i="20"/>
  <c r="F30" i="20"/>
  <c r="G28" i="20"/>
  <c r="G30" i="20"/>
  <c r="G31" i="20"/>
  <c r="J60" i="5"/>
  <c r="J62" i="5"/>
  <c r="J8" i="6"/>
  <c r="J10" i="6"/>
  <c r="J17" i="6"/>
  <c r="J9" i="6"/>
  <c r="J20" i="6"/>
  <c r="J74" i="6"/>
  <c r="J77" i="6"/>
  <c r="G35" i="6"/>
  <c r="G34" i="6"/>
  <c r="G44" i="6"/>
  <c r="G75" i="6"/>
  <c r="G77" i="6"/>
  <c r="G78" i="6"/>
  <c r="H27" i="5"/>
  <c r="H37" i="5"/>
  <c r="H59" i="5"/>
  <c r="E30" i="20"/>
  <c r="E31" i="20"/>
  <c r="H60" i="5"/>
  <c r="H62" i="5"/>
  <c r="H8" i="6"/>
  <c r="H10" i="6"/>
  <c r="H17" i="6"/>
  <c r="H9" i="6"/>
  <c r="H20" i="6"/>
  <c r="H74" i="6"/>
  <c r="H35" i="6"/>
  <c r="H34" i="6"/>
  <c r="H44" i="6"/>
  <c r="H75" i="6"/>
  <c r="H77" i="6"/>
  <c r="H78" i="6"/>
  <c r="I27" i="5"/>
  <c r="I37" i="5"/>
  <c r="I59" i="5"/>
  <c r="F31" i="20"/>
  <c r="I60" i="5"/>
  <c r="I62" i="5"/>
  <c r="I8" i="6"/>
  <c r="I10" i="6"/>
  <c r="I17" i="6"/>
  <c r="I9" i="6"/>
  <c r="I20" i="6"/>
  <c r="I74" i="6"/>
  <c r="I35" i="6"/>
  <c r="I34" i="6"/>
  <c r="I44" i="6"/>
  <c r="I75" i="6"/>
  <c r="I77" i="6"/>
  <c r="I78" i="6"/>
  <c r="J78" i="6"/>
  <c r="K27" i="5"/>
  <c r="K37" i="5"/>
  <c r="K59" i="5"/>
  <c r="H29" i="20"/>
  <c r="H28" i="20"/>
  <c r="H30" i="20"/>
  <c r="H31" i="20"/>
  <c r="K60" i="5"/>
  <c r="K62" i="5"/>
  <c r="K8" i="6"/>
  <c r="K10" i="6"/>
  <c r="K17" i="6"/>
  <c r="K9" i="6"/>
  <c r="K20" i="6"/>
  <c r="K74" i="6"/>
  <c r="K35" i="6"/>
  <c r="K34" i="6"/>
  <c r="K44" i="6"/>
  <c r="K75" i="6"/>
  <c r="K77" i="6"/>
  <c r="K78" i="6"/>
  <c r="L27" i="5"/>
  <c r="L37" i="5"/>
  <c r="L59" i="5"/>
  <c r="I29" i="20"/>
  <c r="I28" i="20"/>
  <c r="I30" i="20"/>
  <c r="I31" i="20"/>
  <c r="L60" i="5"/>
  <c r="L62" i="5"/>
  <c r="L8" i="6"/>
  <c r="L10" i="6"/>
  <c r="L17" i="6"/>
  <c r="L9" i="6"/>
  <c r="L20" i="6"/>
  <c r="L74" i="6"/>
  <c r="L35" i="6"/>
  <c r="L34" i="6"/>
  <c r="L44" i="6"/>
  <c r="L75" i="6"/>
  <c r="L77" i="6"/>
  <c r="L78" i="6"/>
  <c r="M27" i="5"/>
  <c r="M37" i="5"/>
  <c r="M59" i="5"/>
  <c r="J29" i="20"/>
  <c r="J28" i="20"/>
  <c r="J30" i="20"/>
  <c r="J31" i="20"/>
  <c r="M60" i="5"/>
  <c r="M62" i="5"/>
  <c r="M8" i="6"/>
  <c r="M10" i="6"/>
  <c r="M17" i="6"/>
  <c r="M9" i="6"/>
  <c r="M20" i="6"/>
  <c r="M74" i="6"/>
  <c r="M35" i="6"/>
  <c r="M34" i="6"/>
  <c r="M44" i="6"/>
  <c r="M75" i="6"/>
  <c r="M77" i="6"/>
  <c r="M78" i="6"/>
  <c r="N27" i="5"/>
  <c r="N37" i="5"/>
  <c r="N59" i="5"/>
  <c r="K29" i="20"/>
  <c r="K28" i="20"/>
  <c r="K30" i="20"/>
  <c r="K31" i="20"/>
  <c r="N60" i="5"/>
  <c r="N62" i="5"/>
  <c r="N8" i="6"/>
  <c r="N10" i="6"/>
  <c r="N17" i="6"/>
  <c r="N9" i="6"/>
  <c r="N20" i="6"/>
  <c r="N74" i="6"/>
  <c r="N35" i="6"/>
  <c r="N34" i="6"/>
  <c r="N44" i="6"/>
  <c r="N75" i="6"/>
  <c r="N77" i="6"/>
  <c r="N78" i="6"/>
  <c r="O27" i="5"/>
  <c r="O37" i="5"/>
  <c r="O59" i="5"/>
  <c r="L29" i="20"/>
  <c r="L28" i="20"/>
  <c r="L30" i="20"/>
  <c r="L31" i="20"/>
  <c r="O60" i="5"/>
  <c r="O62" i="5"/>
  <c r="O8" i="6"/>
  <c r="O10" i="6"/>
  <c r="O17" i="6"/>
  <c r="O9" i="6"/>
  <c r="O20" i="6"/>
  <c r="O74" i="6"/>
  <c r="O35" i="6"/>
  <c r="O34" i="6"/>
  <c r="O44" i="6"/>
  <c r="O75" i="6"/>
  <c r="O77" i="6"/>
  <c r="O78" i="6"/>
  <c r="F79" i="6"/>
  <c r="B73" i="27"/>
  <c r="B20" i="28"/>
  <c r="B21" i="28"/>
  <c r="B19" i="28"/>
  <c r="B9" i="28"/>
  <c r="B8" i="28"/>
  <c r="O62" i="6"/>
  <c r="N62" i="6"/>
  <c r="M62" i="6"/>
  <c r="L62" i="6"/>
  <c r="K62" i="6"/>
  <c r="J62" i="6"/>
  <c r="F47" i="6"/>
  <c r="F46" i="6"/>
  <c r="F61" i="6"/>
  <c r="F62" i="6"/>
  <c r="F66" i="6"/>
  <c r="F87" i="1"/>
  <c r="G65" i="6"/>
  <c r="G62" i="6"/>
  <c r="G66" i="6"/>
  <c r="G87" i="1"/>
  <c r="H65" i="6"/>
  <c r="H62" i="6"/>
  <c r="H66" i="6"/>
  <c r="H87" i="1"/>
  <c r="I65" i="6"/>
  <c r="I62" i="6"/>
  <c r="I66" i="6"/>
  <c r="I87" i="1"/>
  <c r="J65" i="6"/>
  <c r="J66" i="6"/>
  <c r="J87" i="1"/>
  <c r="K65" i="6"/>
  <c r="K66" i="6"/>
  <c r="K87" i="1"/>
  <c r="L65" i="6"/>
  <c r="L66" i="6"/>
  <c r="L87" i="1"/>
  <c r="M65" i="6"/>
  <c r="M66" i="6"/>
  <c r="M87" i="1"/>
  <c r="N65" i="6"/>
  <c r="N66" i="6"/>
  <c r="N87" i="1"/>
  <c r="O65" i="6"/>
  <c r="O66" i="6"/>
  <c r="L62" i="28"/>
  <c r="K62" i="28"/>
  <c r="J62" i="28"/>
  <c r="I62" i="28"/>
  <c r="H62" i="28"/>
  <c r="G62" i="28"/>
  <c r="F62" i="28"/>
  <c r="E62" i="28"/>
  <c r="D62" i="28"/>
  <c r="C62" i="28"/>
  <c r="L61" i="28"/>
  <c r="K61" i="28"/>
  <c r="J61" i="28"/>
  <c r="I61" i="28"/>
  <c r="H61" i="28"/>
  <c r="G61" i="28"/>
  <c r="F61" i="28"/>
  <c r="E61" i="28"/>
  <c r="D61" i="28"/>
  <c r="C61" i="28"/>
  <c r="L59" i="28"/>
  <c r="K59" i="28"/>
  <c r="J59" i="28"/>
  <c r="I59" i="28"/>
  <c r="H59" i="28"/>
  <c r="G59" i="28"/>
  <c r="F59" i="28"/>
  <c r="E59" i="28"/>
  <c r="D59" i="28"/>
  <c r="C59" i="28"/>
  <c r="L58" i="28"/>
  <c r="K58" i="28"/>
  <c r="J58" i="28"/>
  <c r="I58" i="28"/>
  <c r="H58" i="28"/>
  <c r="G58" i="28"/>
  <c r="F58" i="28"/>
  <c r="E58" i="28"/>
  <c r="D58" i="28"/>
  <c r="C58" i="28"/>
  <c r="L56" i="28"/>
  <c r="K56" i="28"/>
  <c r="J56" i="28"/>
  <c r="I56" i="28"/>
  <c r="H56" i="28"/>
  <c r="G56" i="28"/>
  <c r="F56" i="28"/>
  <c r="E56" i="28"/>
  <c r="D56" i="28"/>
  <c r="C56" i="28"/>
  <c r="O38" i="5"/>
  <c r="O39" i="5"/>
  <c r="L55" i="28"/>
  <c r="N38" i="5"/>
  <c r="N39" i="5"/>
  <c r="K55" i="28"/>
  <c r="M38" i="5"/>
  <c r="M39" i="5"/>
  <c r="J55" i="28"/>
  <c r="L38" i="5"/>
  <c r="L39" i="5"/>
  <c r="I55" i="28"/>
  <c r="K38" i="5"/>
  <c r="K39" i="5"/>
  <c r="H55" i="28"/>
  <c r="J38" i="5"/>
  <c r="J39" i="5"/>
  <c r="G55" i="28"/>
  <c r="I38" i="5"/>
  <c r="I39" i="5"/>
  <c r="F55" i="28"/>
  <c r="H38" i="5"/>
  <c r="H39" i="5"/>
  <c r="E55" i="28"/>
  <c r="D55" i="28"/>
  <c r="C55" i="28"/>
  <c r="L54" i="28"/>
  <c r="K54" i="28"/>
  <c r="J54" i="28"/>
  <c r="I54" i="28"/>
  <c r="H54" i="28"/>
  <c r="G54" i="28"/>
  <c r="F54" i="28"/>
  <c r="E54" i="28"/>
  <c r="D54" i="28"/>
  <c r="C54" i="28"/>
  <c r="L53" i="28"/>
  <c r="K53" i="28"/>
  <c r="J53" i="28"/>
  <c r="I53" i="28"/>
  <c r="H53" i="28"/>
  <c r="G53" i="28"/>
  <c r="F53" i="28"/>
  <c r="E53" i="28"/>
  <c r="D53" i="28"/>
  <c r="C53" i="28"/>
  <c r="L52" i="28"/>
  <c r="K52" i="28"/>
  <c r="J52" i="28"/>
  <c r="I52" i="28"/>
  <c r="H52" i="28"/>
  <c r="G52" i="28"/>
  <c r="F52" i="28"/>
  <c r="E52" i="28"/>
  <c r="D52" i="28"/>
  <c r="C52" i="28"/>
  <c r="L51" i="28"/>
  <c r="K51" i="28"/>
  <c r="J51" i="28"/>
  <c r="I51" i="28"/>
  <c r="H51" i="28"/>
  <c r="G51" i="28"/>
  <c r="F51" i="28"/>
  <c r="E51" i="28"/>
  <c r="D51" i="28"/>
  <c r="C51" i="28"/>
  <c r="L30" i="22"/>
  <c r="L34" i="22"/>
  <c r="B38" i="22"/>
  <c r="B39" i="22"/>
  <c r="B40" i="22"/>
  <c r="B41" i="22"/>
  <c r="B8" i="22"/>
  <c r="B43" i="22"/>
  <c r="B47" i="28"/>
  <c r="B46" i="28"/>
  <c r="B45" i="28"/>
  <c r="B44" i="28"/>
  <c r="B43" i="28"/>
  <c r="B42" i="28"/>
  <c r="C40" i="28"/>
  <c r="B40" i="28"/>
  <c r="B39" i="28"/>
  <c r="C38" i="28"/>
  <c r="B38" i="28"/>
  <c r="F12" i="25"/>
  <c r="C12" i="25"/>
  <c r="C14" i="25"/>
  <c r="D12" i="25"/>
  <c r="D14" i="25"/>
  <c r="E12" i="25"/>
  <c r="E14" i="25"/>
  <c r="F14" i="25"/>
  <c r="G12" i="25"/>
  <c r="G14" i="25"/>
  <c r="H12" i="25"/>
  <c r="H14" i="25"/>
  <c r="I12" i="25"/>
  <c r="I14" i="25"/>
  <c r="J12" i="25"/>
  <c r="J14" i="25"/>
  <c r="K12" i="25"/>
  <c r="K14" i="25"/>
  <c r="B46" i="25"/>
  <c r="B35" i="28"/>
  <c r="F11" i="25"/>
  <c r="C11" i="25"/>
  <c r="C13" i="25"/>
  <c r="D11" i="25"/>
  <c r="D13" i="25"/>
  <c r="E11" i="25"/>
  <c r="E13" i="25"/>
  <c r="F13" i="25"/>
  <c r="G11" i="25"/>
  <c r="G13" i="25"/>
  <c r="H11" i="25"/>
  <c r="H13" i="25"/>
  <c r="I11" i="25"/>
  <c r="I13" i="25"/>
  <c r="J11" i="25"/>
  <c r="J13" i="25"/>
  <c r="K11" i="25"/>
  <c r="K13" i="25"/>
  <c r="B40" i="25"/>
  <c r="B34" i="28"/>
  <c r="B25" i="25"/>
  <c r="B26" i="25"/>
  <c r="B32" i="28"/>
  <c r="B20" i="25"/>
  <c r="B31" i="28"/>
  <c r="B24" i="28"/>
  <c r="B23" i="28"/>
  <c r="B74" i="27"/>
  <c r="B75" i="27"/>
  <c r="B22" i="28"/>
  <c r="J31" i="25"/>
  <c r="F25" i="22"/>
  <c r="G25" i="22"/>
  <c r="H25" i="22"/>
  <c r="I25" i="22"/>
  <c r="J25" i="22"/>
  <c r="K25" i="22"/>
  <c r="E25" i="22"/>
  <c r="D25" i="22"/>
  <c r="C25" i="22"/>
  <c r="C20" i="22"/>
  <c r="B20" i="22"/>
  <c r="C21" i="22"/>
  <c r="D21" i="22"/>
  <c r="K25" i="23"/>
  <c r="J25" i="23"/>
  <c r="I25" i="23"/>
  <c r="H25" i="23"/>
  <c r="K24" i="23"/>
  <c r="J24" i="23"/>
  <c r="I24" i="23"/>
  <c r="H24" i="23"/>
  <c r="K23" i="23"/>
  <c r="J23" i="23"/>
  <c r="I23" i="23"/>
  <c r="H23" i="23"/>
  <c r="B6" i="25"/>
  <c r="B5" i="25"/>
  <c r="B4" i="25"/>
  <c r="L76" i="20"/>
  <c r="K76" i="20"/>
  <c r="J76" i="20"/>
  <c r="I76" i="20"/>
  <c r="C69" i="20"/>
  <c r="F17" i="5"/>
  <c r="F15" i="5"/>
  <c r="F10" i="5"/>
  <c r="F11" i="5"/>
  <c r="F7" i="5"/>
  <c r="F27" i="5"/>
  <c r="F37" i="5"/>
  <c r="F59" i="5"/>
  <c r="C13" i="20"/>
  <c r="C17" i="20"/>
  <c r="C15" i="20"/>
  <c r="C14" i="20"/>
  <c r="C24" i="20"/>
  <c r="C29" i="20"/>
  <c r="C31" i="20"/>
  <c r="F60" i="5"/>
  <c r="F62" i="5"/>
  <c r="F8" i="6"/>
  <c r="F9" i="4"/>
  <c r="F13" i="4"/>
  <c r="F18" i="4"/>
  <c r="F17" i="6"/>
  <c r="F9" i="6"/>
  <c r="F20" i="6"/>
  <c r="F74" i="6"/>
  <c r="F77" i="6"/>
  <c r="F78" i="6"/>
  <c r="D4" i="20"/>
  <c r="D8" i="20"/>
  <c r="D72" i="20"/>
  <c r="D69" i="20"/>
  <c r="G17" i="5"/>
  <c r="G15" i="5"/>
  <c r="G10" i="5"/>
  <c r="G11" i="5"/>
  <c r="G7" i="5"/>
  <c r="G27" i="5"/>
  <c r="G37" i="5"/>
  <c r="G59" i="5"/>
  <c r="D50" i="20"/>
  <c r="D52" i="20"/>
  <c r="D13" i="20"/>
  <c r="D17" i="20"/>
  <c r="D15" i="20"/>
  <c r="D14" i="20"/>
  <c r="D24" i="20"/>
  <c r="C87" i="20"/>
  <c r="D79" i="20"/>
  <c r="D29" i="20"/>
  <c r="D30" i="20"/>
  <c r="D31" i="20"/>
  <c r="G60" i="5"/>
  <c r="G62" i="5"/>
  <c r="G8" i="6"/>
  <c r="G9" i="4"/>
  <c r="G13" i="4"/>
  <c r="G18" i="4"/>
  <c r="G17" i="6"/>
  <c r="G8" i="4"/>
  <c r="G11" i="4"/>
  <c r="G16" i="4"/>
  <c r="G15" i="6"/>
  <c r="G12" i="4"/>
  <c r="F8" i="4"/>
  <c r="F12" i="4"/>
  <c r="G17" i="4"/>
  <c r="G16" i="6"/>
  <c r="G9" i="6"/>
  <c r="G20" i="6"/>
  <c r="G74" i="6"/>
  <c r="E71" i="20"/>
  <c r="E4" i="20"/>
  <c r="E8" i="20"/>
  <c r="E72" i="20"/>
  <c r="E69" i="20"/>
  <c r="H17" i="5"/>
  <c r="H10" i="5"/>
  <c r="H11" i="5"/>
  <c r="H7" i="5"/>
  <c r="E50" i="20"/>
  <c r="E52" i="20"/>
  <c r="E13" i="20"/>
  <c r="E17" i="20"/>
  <c r="D87" i="20"/>
  <c r="B88" i="20"/>
  <c r="C88" i="20"/>
  <c r="E79" i="20"/>
  <c r="H8" i="4"/>
  <c r="H11" i="4"/>
  <c r="H16" i="4"/>
  <c r="H15" i="6"/>
  <c r="H12" i="4"/>
  <c r="H17" i="4"/>
  <c r="H16" i="6"/>
  <c r="F71" i="20"/>
  <c r="F8" i="20"/>
  <c r="F72" i="20"/>
  <c r="F69" i="20"/>
  <c r="I17" i="5"/>
  <c r="F50" i="20"/>
  <c r="F52" i="20"/>
  <c r="F13" i="20"/>
  <c r="F17" i="20"/>
  <c r="D88" i="20"/>
  <c r="B89" i="20"/>
  <c r="C89" i="20"/>
  <c r="F79" i="20"/>
  <c r="D28" i="20"/>
  <c r="E28" i="20"/>
  <c r="I16" i="4"/>
  <c r="I15" i="6"/>
  <c r="I17" i="4"/>
  <c r="I16" i="6"/>
  <c r="G71" i="20"/>
  <c r="G8" i="20"/>
  <c r="G72" i="20"/>
  <c r="G69" i="20"/>
  <c r="J17" i="5"/>
  <c r="G50" i="20"/>
  <c r="G52" i="20"/>
  <c r="G13" i="20"/>
  <c r="G17" i="20"/>
  <c r="D89" i="20"/>
  <c r="B90" i="20"/>
  <c r="C90" i="20"/>
  <c r="G79" i="20"/>
  <c r="H71" i="20"/>
  <c r="H8" i="20"/>
  <c r="H72" i="20"/>
  <c r="H69" i="20"/>
  <c r="K17" i="5"/>
  <c r="H50" i="20"/>
  <c r="H52" i="20"/>
  <c r="H13" i="20"/>
  <c r="H17" i="20"/>
  <c r="D90" i="20"/>
  <c r="B91" i="20"/>
  <c r="C91" i="20"/>
  <c r="H79" i="20"/>
  <c r="I71" i="20"/>
  <c r="I8" i="20"/>
  <c r="I72" i="20"/>
  <c r="I69" i="20"/>
  <c r="L17" i="5"/>
  <c r="I50" i="20"/>
  <c r="I52" i="20"/>
  <c r="I13" i="20"/>
  <c r="I17" i="20"/>
  <c r="I18" i="20"/>
  <c r="I19" i="20"/>
  <c r="I21" i="20"/>
  <c r="I22" i="20"/>
  <c r="J71" i="20"/>
  <c r="J8" i="20"/>
  <c r="J72" i="20"/>
  <c r="J69" i="20"/>
  <c r="M17" i="5"/>
  <c r="J50" i="20"/>
  <c r="J52" i="20"/>
  <c r="J13" i="20"/>
  <c r="J17" i="20"/>
  <c r="J18" i="20"/>
  <c r="J19" i="20"/>
  <c r="J21" i="20"/>
  <c r="J22" i="20"/>
  <c r="K71" i="20"/>
  <c r="K8" i="20"/>
  <c r="K72" i="20"/>
  <c r="K69" i="20"/>
  <c r="N17" i="5"/>
  <c r="K50" i="20"/>
  <c r="K52" i="20"/>
  <c r="K13" i="20"/>
  <c r="K17" i="20"/>
  <c r="K18" i="20"/>
  <c r="K19" i="20"/>
  <c r="K21" i="20"/>
  <c r="K22" i="20"/>
  <c r="L71" i="20"/>
  <c r="L8" i="20"/>
  <c r="L72" i="20"/>
  <c r="L69" i="20"/>
  <c r="O17" i="5"/>
  <c r="L50" i="20"/>
  <c r="L52" i="20"/>
  <c r="L13" i="20"/>
  <c r="L17" i="20"/>
  <c r="L18" i="20"/>
  <c r="L19" i="20"/>
  <c r="L21" i="20"/>
  <c r="L22" i="20"/>
  <c r="O76" i="6"/>
  <c r="N76" i="6"/>
  <c r="M76" i="6"/>
  <c r="L76" i="6"/>
  <c r="K76" i="6"/>
  <c r="J76" i="6"/>
  <c r="I76" i="6"/>
  <c r="H76" i="6"/>
  <c r="G76" i="6"/>
  <c r="F76" i="6"/>
  <c r="F75" i="6"/>
  <c r="G49" i="8"/>
  <c r="G48" i="8"/>
  <c r="G47" i="8"/>
  <c r="G46" i="8"/>
  <c r="G45" i="8"/>
  <c r="C16" i="19"/>
  <c r="E14" i="19"/>
  <c r="D14" i="19"/>
  <c r="C14" i="19"/>
  <c r="AA12" i="10"/>
  <c r="AB12" i="10"/>
  <c r="AC12" i="10"/>
  <c r="AC14" i="10"/>
  <c r="AC15" i="10"/>
  <c r="AD12" i="10"/>
  <c r="AE12" i="10"/>
  <c r="AF12" i="10"/>
  <c r="AG12" i="10"/>
  <c r="AG14" i="10"/>
  <c r="AG15" i="10"/>
  <c r="AH12" i="10"/>
  <c r="AI12" i="10"/>
  <c r="AJ12" i="10"/>
  <c r="AK12" i="10"/>
  <c r="AK14" i="10"/>
  <c r="AK15" i="10"/>
  <c r="AL12" i="10"/>
  <c r="AM12" i="10"/>
  <c r="AN12" i="10"/>
  <c r="AO12" i="10"/>
  <c r="AO14" i="10"/>
  <c r="AO15" i="10"/>
  <c r="O122" i="1"/>
  <c r="N122" i="1"/>
  <c r="M122" i="1"/>
  <c r="L122" i="1"/>
  <c r="O53" i="5"/>
  <c r="O59" i="6"/>
  <c r="N53" i="5"/>
  <c r="N59" i="6"/>
  <c r="M53" i="5"/>
  <c r="M59" i="6"/>
  <c r="L53" i="5"/>
  <c r="L59" i="6"/>
  <c r="O55" i="6"/>
  <c r="N55" i="6"/>
  <c r="M55" i="6"/>
  <c r="L55" i="6"/>
  <c r="O12" i="6"/>
  <c r="N12" i="6"/>
  <c r="M12" i="6"/>
  <c r="L12" i="6"/>
  <c r="L9" i="20"/>
  <c r="K9" i="20"/>
  <c r="J9" i="20"/>
  <c r="I9" i="20"/>
  <c r="L79" i="20"/>
  <c r="K79" i="20"/>
  <c r="J79" i="20"/>
  <c r="I79" i="20"/>
  <c r="D91" i="20"/>
  <c r="B92" i="20"/>
  <c r="C92" i="20"/>
  <c r="D92" i="20"/>
  <c r="B93" i="20"/>
  <c r="C93" i="20"/>
  <c r="D93" i="20"/>
  <c r="B94" i="20"/>
  <c r="C94" i="20"/>
  <c r="D94" i="20"/>
  <c r="B95" i="20"/>
  <c r="C95" i="20"/>
  <c r="C96" i="20"/>
  <c r="D95" i="20"/>
  <c r="D96" i="20"/>
  <c r="E96" i="20"/>
  <c r="F12" i="10"/>
  <c r="AO26" i="10"/>
  <c r="G12" i="10"/>
  <c r="H12" i="10"/>
  <c r="I12" i="10"/>
  <c r="I14" i="10"/>
  <c r="I15" i="10"/>
  <c r="J12" i="10"/>
  <c r="K12" i="10"/>
  <c r="L12" i="10"/>
  <c r="M12" i="10"/>
  <c r="M14" i="10"/>
  <c r="M15" i="10"/>
  <c r="N12" i="10"/>
  <c r="O12" i="10"/>
  <c r="P12" i="10"/>
  <c r="Q12" i="10"/>
  <c r="Q14" i="10"/>
  <c r="Q15" i="10"/>
  <c r="R12" i="10"/>
  <c r="S12" i="10"/>
  <c r="T12" i="10"/>
  <c r="U12" i="10"/>
  <c r="U14" i="10"/>
  <c r="U15" i="10"/>
  <c r="V12" i="10"/>
  <c r="W12" i="10"/>
  <c r="X12" i="10"/>
  <c r="Y12" i="10"/>
  <c r="Z12" i="10"/>
  <c r="AO24" i="10"/>
  <c r="AO25" i="10"/>
  <c r="AO19" i="10"/>
  <c r="AO18" i="10"/>
  <c r="AO13" i="10"/>
  <c r="AN24" i="10"/>
  <c r="AN25" i="10"/>
  <c r="AN19" i="10"/>
  <c r="AN18" i="10"/>
  <c r="AN13" i="10"/>
  <c r="AM24" i="10"/>
  <c r="AM25" i="10"/>
  <c r="AM19" i="10"/>
  <c r="AM18" i="10"/>
  <c r="AM13" i="10"/>
  <c r="AL24" i="10"/>
  <c r="AL25" i="10"/>
  <c r="AL19" i="10"/>
  <c r="AL18" i="10"/>
  <c r="AL13" i="10"/>
  <c r="AK26" i="10"/>
  <c r="AK24" i="10"/>
  <c r="AK25" i="10"/>
  <c r="AK19" i="10"/>
  <c r="AK18" i="10"/>
  <c r="AK13" i="10"/>
  <c r="AJ24" i="10"/>
  <c r="AJ25" i="10"/>
  <c r="AJ19" i="10"/>
  <c r="AJ18" i="10"/>
  <c r="AJ13" i="10"/>
  <c r="AI24" i="10"/>
  <c r="AI25" i="10"/>
  <c r="AI19" i="10"/>
  <c r="AI18" i="10"/>
  <c r="AI13" i="10"/>
  <c r="AH24" i="10"/>
  <c r="AH25" i="10"/>
  <c r="AH19" i="10"/>
  <c r="AH18" i="10"/>
  <c r="AH13" i="10"/>
  <c r="AG26" i="10"/>
  <c r="AG24" i="10"/>
  <c r="AG25" i="10"/>
  <c r="AG19" i="10"/>
  <c r="AG18" i="10"/>
  <c r="AG13" i="10"/>
  <c r="AF24" i="10"/>
  <c r="AF25" i="10"/>
  <c r="AF19" i="10"/>
  <c r="AF18" i="10"/>
  <c r="AF13" i="10"/>
  <c r="AE24" i="10"/>
  <c r="AE25" i="10"/>
  <c r="AE19" i="10"/>
  <c r="AE18" i="10"/>
  <c r="AE13" i="10"/>
  <c r="AD24" i="10"/>
  <c r="AD25" i="10"/>
  <c r="AD19" i="10"/>
  <c r="AD18" i="10"/>
  <c r="AD13" i="10"/>
  <c r="AC26" i="10"/>
  <c r="AC24" i="10"/>
  <c r="AC25" i="10"/>
  <c r="AC19" i="10"/>
  <c r="AC18" i="10"/>
  <c r="AC13" i="10"/>
  <c r="AB24" i="10"/>
  <c r="AB25" i="10"/>
  <c r="AB19" i="10"/>
  <c r="AB18" i="10"/>
  <c r="AB13" i="10"/>
  <c r="AA24" i="10"/>
  <c r="AA25" i="10"/>
  <c r="AA19" i="10"/>
  <c r="AA18" i="10"/>
  <c r="AA13" i="10"/>
  <c r="Z24" i="10"/>
  <c r="Z25" i="10"/>
  <c r="Z19" i="10"/>
  <c r="Z18" i="10"/>
  <c r="Z13" i="10"/>
  <c r="B3" i="19"/>
  <c r="B78" i="27"/>
  <c r="D3" i="19"/>
  <c r="B4" i="19"/>
  <c r="D4" i="19"/>
  <c r="B5" i="19"/>
  <c r="D5" i="19"/>
  <c r="B6" i="19"/>
  <c r="D6" i="19"/>
  <c r="B7" i="19"/>
  <c r="D7" i="19"/>
  <c r="B8" i="19"/>
  <c r="D8" i="19"/>
  <c r="B9" i="19"/>
  <c r="D9" i="19"/>
  <c r="B10" i="19"/>
  <c r="D10" i="19"/>
  <c r="B11" i="19"/>
  <c r="D11" i="19"/>
  <c r="F11" i="19"/>
  <c r="D2" i="19"/>
  <c r="C11" i="19"/>
  <c r="E11" i="19"/>
  <c r="A4" i="19"/>
  <c r="A5" i="19"/>
  <c r="A6" i="19"/>
  <c r="A7" i="19"/>
  <c r="A8" i="19"/>
  <c r="A9" i="19"/>
  <c r="A10" i="19"/>
  <c r="A11" i="19"/>
  <c r="C10" i="19"/>
  <c r="E10" i="19"/>
  <c r="F10" i="19"/>
  <c r="C9" i="19"/>
  <c r="E9" i="19"/>
  <c r="F9" i="19"/>
  <c r="C5" i="19"/>
  <c r="C6" i="19"/>
  <c r="C7" i="19"/>
  <c r="C8" i="19"/>
  <c r="C4" i="19"/>
  <c r="C3" i="19"/>
  <c r="E8" i="19"/>
  <c r="F8" i="19"/>
  <c r="F48" i="6"/>
  <c r="G54" i="8"/>
  <c r="B72" i="27"/>
  <c r="D49" i="20"/>
  <c r="G71" i="8"/>
  <c r="G73" i="8"/>
  <c r="H70" i="8"/>
  <c r="H72" i="8"/>
  <c r="H33" i="8"/>
  <c r="G76" i="8"/>
  <c r="G78" i="8"/>
  <c r="H75" i="8"/>
  <c r="H77" i="8"/>
  <c r="H34" i="8"/>
  <c r="G81" i="8"/>
  <c r="G83" i="8"/>
  <c r="H80" i="8"/>
  <c r="H82" i="8"/>
  <c r="H35" i="8"/>
  <c r="G86" i="8"/>
  <c r="G88" i="8"/>
  <c r="H85" i="8"/>
  <c r="H87" i="8"/>
  <c r="H36" i="8"/>
  <c r="G91" i="8"/>
  <c r="G93" i="8"/>
  <c r="H90" i="8"/>
  <c r="H92" i="8"/>
  <c r="H37" i="8"/>
  <c r="H32" i="8"/>
  <c r="H38" i="8"/>
  <c r="D16" i="20"/>
  <c r="D26" i="20"/>
  <c r="C18" i="22"/>
  <c r="C19" i="22"/>
  <c r="C22" i="22"/>
  <c r="C23" i="22"/>
  <c r="C24" i="22"/>
  <c r="C26" i="22"/>
  <c r="J20" i="12"/>
  <c r="G15" i="12"/>
  <c r="G18" i="12"/>
  <c r="G4" i="12"/>
  <c r="G8" i="12"/>
  <c r="H15" i="12"/>
  <c r="H18" i="12"/>
  <c r="H4" i="12"/>
  <c r="H8" i="12"/>
  <c r="I15" i="12"/>
  <c r="I18" i="12"/>
  <c r="I4" i="12"/>
  <c r="I8" i="12"/>
  <c r="J15" i="12"/>
  <c r="J18" i="12"/>
  <c r="J4" i="12"/>
  <c r="J8" i="12"/>
  <c r="J9" i="12"/>
  <c r="G9" i="5"/>
  <c r="F29" i="4"/>
  <c r="G29" i="4"/>
  <c r="G16" i="5"/>
  <c r="F30" i="4"/>
  <c r="G30" i="4"/>
  <c r="G19" i="4"/>
  <c r="C29" i="22"/>
  <c r="C27" i="22"/>
  <c r="E49" i="20"/>
  <c r="B51" i="16"/>
  <c r="K55" i="16"/>
  <c r="K5" i="16"/>
  <c r="L55" i="16"/>
  <c r="L5" i="16"/>
  <c r="M55" i="16"/>
  <c r="M5" i="16"/>
  <c r="N55" i="16"/>
  <c r="N5" i="16"/>
  <c r="H18" i="5"/>
  <c r="E18" i="20"/>
  <c r="H73" i="8"/>
  <c r="I70" i="8"/>
  <c r="I72" i="8"/>
  <c r="I33" i="8"/>
  <c r="H78" i="8"/>
  <c r="I75" i="8"/>
  <c r="I77" i="8"/>
  <c r="I34" i="8"/>
  <c r="H88" i="8"/>
  <c r="I85" i="8"/>
  <c r="I87" i="8"/>
  <c r="I36" i="8"/>
  <c r="H93" i="8"/>
  <c r="I90" i="8"/>
  <c r="I92" i="8"/>
  <c r="I37" i="8"/>
  <c r="C26" i="20"/>
  <c r="B18" i="22"/>
  <c r="K15" i="12"/>
  <c r="K18" i="12"/>
  <c r="K4" i="12"/>
  <c r="K8" i="12"/>
  <c r="L15" i="12"/>
  <c r="L18" i="12"/>
  <c r="L4" i="12"/>
  <c r="L8" i="12"/>
  <c r="M15" i="12"/>
  <c r="M18" i="12"/>
  <c r="M4" i="12"/>
  <c r="M8" i="12"/>
  <c r="N15" i="12"/>
  <c r="N18" i="12"/>
  <c r="N4" i="12"/>
  <c r="N8" i="12"/>
  <c r="N9" i="12"/>
  <c r="H9" i="5"/>
  <c r="H29" i="4"/>
  <c r="H30" i="4"/>
  <c r="F49" i="20"/>
  <c r="O55" i="16"/>
  <c r="O5" i="16"/>
  <c r="P55" i="16"/>
  <c r="P5" i="16"/>
  <c r="Q55" i="16"/>
  <c r="Q5" i="16"/>
  <c r="R55" i="16"/>
  <c r="R5" i="16"/>
  <c r="I18" i="5"/>
  <c r="F18" i="20"/>
  <c r="I73" i="8"/>
  <c r="J70" i="8"/>
  <c r="J72" i="8"/>
  <c r="J33" i="8"/>
  <c r="I78" i="8"/>
  <c r="J75" i="8"/>
  <c r="J77" i="8"/>
  <c r="J34" i="8"/>
  <c r="I88" i="8"/>
  <c r="J85" i="8"/>
  <c r="J87" i="8"/>
  <c r="J36" i="8"/>
  <c r="I93" i="8"/>
  <c r="J90" i="8"/>
  <c r="J92" i="8"/>
  <c r="J37" i="8"/>
  <c r="O15" i="12"/>
  <c r="O18" i="12"/>
  <c r="O4" i="12"/>
  <c r="O8" i="12"/>
  <c r="P15" i="12"/>
  <c r="P18" i="12"/>
  <c r="P4" i="12"/>
  <c r="P8" i="12"/>
  <c r="Q15" i="12"/>
  <c r="Q18" i="12"/>
  <c r="Q4" i="12"/>
  <c r="Q8" i="12"/>
  <c r="R15" i="12"/>
  <c r="R18" i="12"/>
  <c r="R4" i="12"/>
  <c r="R8" i="12"/>
  <c r="R9" i="12"/>
  <c r="I9" i="5"/>
  <c r="I11" i="5"/>
  <c r="I7" i="5"/>
  <c r="I8" i="4"/>
  <c r="I11" i="4"/>
  <c r="I29" i="4"/>
  <c r="I12" i="4"/>
  <c r="I30" i="4"/>
  <c r="G49" i="20"/>
  <c r="S55" i="16"/>
  <c r="S5" i="16"/>
  <c r="T55" i="16"/>
  <c r="T5" i="16"/>
  <c r="U55" i="16"/>
  <c r="U5" i="16"/>
  <c r="V55" i="16"/>
  <c r="V5" i="16"/>
  <c r="J18" i="5"/>
  <c r="G18" i="20"/>
  <c r="J73" i="8"/>
  <c r="K70" i="8"/>
  <c r="K72" i="8"/>
  <c r="K33" i="8"/>
  <c r="J78" i="8"/>
  <c r="K75" i="8"/>
  <c r="K77" i="8"/>
  <c r="K34" i="8"/>
  <c r="J88" i="8"/>
  <c r="K85" i="8"/>
  <c r="K87" i="8"/>
  <c r="K36" i="8"/>
  <c r="J93" i="8"/>
  <c r="K90" i="8"/>
  <c r="K92" i="8"/>
  <c r="K37" i="8"/>
  <c r="S15" i="12"/>
  <c r="S18" i="12"/>
  <c r="S4" i="12"/>
  <c r="S8" i="12"/>
  <c r="T15" i="12"/>
  <c r="T18" i="12"/>
  <c r="T4" i="12"/>
  <c r="T8" i="12"/>
  <c r="U15" i="12"/>
  <c r="U18" i="12"/>
  <c r="U4" i="12"/>
  <c r="U8" i="12"/>
  <c r="V15" i="12"/>
  <c r="V18" i="12"/>
  <c r="V4" i="12"/>
  <c r="V8" i="12"/>
  <c r="V9" i="12"/>
  <c r="J9" i="5"/>
  <c r="J11" i="5"/>
  <c r="J7" i="5"/>
  <c r="J8" i="4"/>
  <c r="J11" i="4"/>
  <c r="J16" i="4"/>
  <c r="J29" i="4"/>
  <c r="J12" i="4"/>
  <c r="J17" i="4"/>
  <c r="J30" i="4"/>
  <c r="H49" i="20"/>
  <c r="W55" i="16"/>
  <c r="W5" i="16"/>
  <c r="X55" i="16"/>
  <c r="X5" i="16"/>
  <c r="Y55" i="16"/>
  <c r="Y5" i="16"/>
  <c r="Z55" i="16"/>
  <c r="Z5" i="16"/>
  <c r="K18" i="5"/>
  <c r="H18" i="20"/>
  <c r="K73" i="8"/>
  <c r="L70" i="8"/>
  <c r="L72" i="8"/>
  <c r="L33" i="8"/>
  <c r="K78" i="8"/>
  <c r="L75" i="8"/>
  <c r="L77" i="8"/>
  <c r="L34" i="8"/>
  <c r="K88" i="8"/>
  <c r="L85" i="8"/>
  <c r="L87" i="8"/>
  <c r="L36" i="8"/>
  <c r="K93" i="8"/>
  <c r="L90" i="8"/>
  <c r="L92" i="8"/>
  <c r="L37" i="8"/>
  <c r="W15" i="12"/>
  <c r="W18" i="12"/>
  <c r="W4" i="12"/>
  <c r="W8" i="12"/>
  <c r="X15" i="12"/>
  <c r="X18" i="12"/>
  <c r="X4" i="12"/>
  <c r="X8" i="12"/>
  <c r="Y15" i="12"/>
  <c r="Y18" i="12"/>
  <c r="Y4" i="12"/>
  <c r="Y8" i="12"/>
  <c r="Z15" i="12"/>
  <c r="Z18" i="12"/>
  <c r="Z4" i="12"/>
  <c r="Z8" i="12"/>
  <c r="Z9" i="12"/>
  <c r="K9" i="5"/>
  <c r="K11" i="5"/>
  <c r="K7" i="5"/>
  <c r="K8" i="4"/>
  <c r="K11" i="4"/>
  <c r="K16" i="4"/>
  <c r="K29" i="4"/>
  <c r="K12" i="4"/>
  <c r="K17" i="4"/>
  <c r="K30" i="4"/>
  <c r="L73" i="8"/>
  <c r="M70" i="8"/>
  <c r="M72" i="8"/>
  <c r="M33" i="8"/>
  <c r="L78" i="8"/>
  <c r="M75" i="8"/>
  <c r="M77" i="8"/>
  <c r="M34" i="8"/>
  <c r="L88" i="8"/>
  <c r="M85" i="8"/>
  <c r="M87" i="8"/>
  <c r="M36" i="8"/>
  <c r="L93" i="8"/>
  <c r="M90" i="8"/>
  <c r="M92" i="8"/>
  <c r="M37" i="8"/>
  <c r="L16" i="4"/>
  <c r="L29" i="4"/>
  <c r="L12" i="4"/>
  <c r="L17" i="4"/>
  <c r="AA5" i="16"/>
  <c r="AB5" i="16"/>
  <c r="AC5" i="16"/>
  <c r="AD5" i="16"/>
  <c r="L18" i="5"/>
  <c r="AA6" i="16"/>
  <c r="AB6" i="16"/>
  <c r="AC6" i="16"/>
  <c r="AD6" i="16"/>
  <c r="L19" i="5"/>
  <c r="AA8" i="16"/>
  <c r="AB8" i="16"/>
  <c r="AC8" i="16"/>
  <c r="AD8" i="16"/>
  <c r="L22" i="5"/>
  <c r="AA9" i="16"/>
  <c r="AB9" i="16"/>
  <c r="AC9" i="16"/>
  <c r="AD9" i="16"/>
  <c r="L23" i="5"/>
  <c r="L30" i="4"/>
  <c r="M73" i="8"/>
  <c r="N70" i="8"/>
  <c r="N72" i="8"/>
  <c r="N33" i="8"/>
  <c r="M78" i="8"/>
  <c r="N75" i="8"/>
  <c r="N77" i="8"/>
  <c r="N34" i="8"/>
  <c r="M88" i="8"/>
  <c r="N85" i="8"/>
  <c r="N87" i="8"/>
  <c r="N36" i="8"/>
  <c r="M93" i="8"/>
  <c r="N90" i="8"/>
  <c r="N92" i="8"/>
  <c r="N37" i="8"/>
  <c r="AE5" i="16"/>
  <c r="AF5" i="16"/>
  <c r="AG5" i="16"/>
  <c r="AH5" i="16"/>
  <c r="M18" i="5"/>
  <c r="AE6" i="16"/>
  <c r="AF6" i="16"/>
  <c r="AG6" i="16"/>
  <c r="AH6" i="16"/>
  <c r="M19" i="5"/>
  <c r="AE8" i="16"/>
  <c r="AF8" i="16"/>
  <c r="AG8" i="16"/>
  <c r="AH8" i="16"/>
  <c r="M22" i="5"/>
  <c r="AE9" i="16"/>
  <c r="AF9" i="16"/>
  <c r="AG9" i="16"/>
  <c r="AH9" i="16"/>
  <c r="M23" i="5"/>
  <c r="M30" i="4"/>
  <c r="M29" i="4"/>
  <c r="M12" i="4"/>
  <c r="M17" i="4"/>
  <c r="N73" i="8"/>
  <c r="O70" i="8"/>
  <c r="O72" i="8"/>
  <c r="O33" i="8"/>
  <c r="N78" i="8"/>
  <c r="O75" i="8"/>
  <c r="O77" i="8"/>
  <c r="O34" i="8"/>
  <c r="N88" i="8"/>
  <c r="O85" i="8"/>
  <c r="O87" i="8"/>
  <c r="O36" i="8"/>
  <c r="N93" i="8"/>
  <c r="O90" i="8"/>
  <c r="O92" i="8"/>
  <c r="O37" i="8"/>
  <c r="AI5" i="16"/>
  <c r="AJ5" i="16"/>
  <c r="AK5" i="16"/>
  <c r="AL5" i="16"/>
  <c r="N18" i="5"/>
  <c r="AI6" i="16"/>
  <c r="AJ6" i="16"/>
  <c r="AK6" i="16"/>
  <c r="AL6" i="16"/>
  <c r="N19" i="5"/>
  <c r="AI8" i="16"/>
  <c r="AJ8" i="16"/>
  <c r="AK8" i="16"/>
  <c r="AL8" i="16"/>
  <c r="N22" i="5"/>
  <c r="AI9" i="16"/>
  <c r="AJ9" i="16"/>
  <c r="AK9" i="16"/>
  <c r="AL9" i="16"/>
  <c r="N23" i="5"/>
  <c r="N30" i="4"/>
  <c r="N29" i="4"/>
  <c r="N12" i="4"/>
  <c r="N17" i="4"/>
  <c r="O73" i="8"/>
  <c r="P70" i="8"/>
  <c r="P72" i="8"/>
  <c r="P33" i="8"/>
  <c r="O78" i="8"/>
  <c r="P75" i="8"/>
  <c r="P77" i="8"/>
  <c r="P34" i="8"/>
  <c r="O88" i="8"/>
  <c r="P85" i="8"/>
  <c r="P87" i="8"/>
  <c r="P36" i="8"/>
  <c r="O93" i="8"/>
  <c r="P90" i="8"/>
  <c r="P92" i="8"/>
  <c r="P37" i="8"/>
  <c r="AM5" i="16"/>
  <c r="AN5" i="16"/>
  <c r="AO5" i="16"/>
  <c r="AP5" i="16"/>
  <c r="O18" i="5"/>
  <c r="AM6" i="16"/>
  <c r="AN6" i="16"/>
  <c r="AO6" i="16"/>
  <c r="AP6" i="16"/>
  <c r="O19" i="5"/>
  <c r="AM8" i="16"/>
  <c r="AN8" i="16"/>
  <c r="AO8" i="16"/>
  <c r="AP8" i="16"/>
  <c r="O22" i="5"/>
  <c r="AM9" i="16"/>
  <c r="AN9" i="16"/>
  <c r="AO9" i="16"/>
  <c r="AP9" i="16"/>
  <c r="O23" i="5"/>
  <c r="O30" i="4"/>
  <c r="O29" i="4"/>
  <c r="O12" i="4"/>
  <c r="O17" i="4"/>
  <c r="B50" i="22"/>
  <c r="F19" i="4"/>
  <c r="B29" i="22"/>
  <c r="G44" i="8"/>
  <c r="G52" i="8"/>
  <c r="B28" i="22"/>
  <c r="B23" i="22"/>
  <c r="B24" i="22"/>
  <c r="B26" i="22"/>
  <c r="B27" i="22"/>
  <c r="B30" i="22"/>
  <c r="B13" i="23"/>
  <c r="I21" i="27"/>
  <c r="L23" i="20"/>
  <c r="K23" i="20"/>
  <c r="J23" i="20"/>
  <c r="I23" i="20"/>
  <c r="L20" i="20"/>
  <c r="K20" i="20"/>
  <c r="J20" i="20"/>
  <c r="I20" i="20"/>
  <c r="P39" i="8"/>
  <c r="M61" i="8"/>
  <c r="M62" i="8"/>
  <c r="M63" i="8"/>
  <c r="N60" i="8"/>
  <c r="N61" i="8"/>
  <c r="N62" i="8"/>
  <c r="N63" i="8"/>
  <c r="O60" i="8"/>
  <c r="O62" i="8"/>
  <c r="O30" i="8"/>
  <c r="M67" i="8"/>
  <c r="M68" i="8"/>
  <c r="N65" i="8"/>
  <c r="N67" i="8"/>
  <c r="N68" i="8"/>
  <c r="O65" i="8"/>
  <c r="O67" i="8"/>
  <c r="O31" i="8"/>
  <c r="O29" i="8"/>
  <c r="M71" i="8"/>
  <c r="N71" i="8"/>
  <c r="M76" i="8"/>
  <c r="N76" i="8"/>
  <c r="M86" i="8"/>
  <c r="N86" i="8"/>
  <c r="M91" i="8"/>
  <c r="N91" i="8"/>
  <c r="N20" i="5"/>
  <c r="N25" i="5"/>
  <c r="N26" i="5"/>
  <c r="AI18" i="12"/>
  <c r="AI8" i="12"/>
  <c r="AJ18" i="12"/>
  <c r="AJ8" i="12"/>
  <c r="AK18" i="12"/>
  <c r="AK8" i="12"/>
  <c r="AL18" i="12"/>
  <c r="AL8" i="12"/>
  <c r="AL9" i="12"/>
  <c r="N9" i="5"/>
  <c r="N11" i="5"/>
  <c r="M13" i="5"/>
  <c r="N13" i="5"/>
  <c r="M14" i="5"/>
  <c r="N14" i="5"/>
  <c r="N7" i="5"/>
  <c r="N28" i="5"/>
  <c r="N33" i="5"/>
  <c r="N40" i="5"/>
  <c r="N52" i="5"/>
  <c r="N30" i="8"/>
  <c r="N31" i="8"/>
  <c r="N29" i="8"/>
  <c r="M30" i="8"/>
  <c r="M31" i="8"/>
  <c r="M29" i="8"/>
  <c r="B87" i="20"/>
  <c r="N107" i="1"/>
  <c r="M20" i="5"/>
  <c r="M25" i="5"/>
  <c r="M26" i="5"/>
  <c r="AE18" i="12"/>
  <c r="AE8" i="12"/>
  <c r="AF18" i="12"/>
  <c r="AF8" i="12"/>
  <c r="AG18" i="12"/>
  <c r="AG8" i="12"/>
  <c r="AH18" i="12"/>
  <c r="AH8" i="12"/>
  <c r="AH9" i="12"/>
  <c r="M9" i="5"/>
  <c r="M11" i="5"/>
  <c r="M7" i="5"/>
  <c r="M28" i="5"/>
  <c r="M33" i="5"/>
  <c r="M40" i="5"/>
  <c r="M52" i="5"/>
  <c r="M107" i="1"/>
  <c r="L20" i="5"/>
  <c r="L25" i="5"/>
  <c r="L26" i="5"/>
  <c r="AA18" i="12"/>
  <c r="AA8" i="12"/>
  <c r="AB18" i="12"/>
  <c r="AB8" i="12"/>
  <c r="AC18" i="12"/>
  <c r="AC8" i="12"/>
  <c r="AD18" i="12"/>
  <c r="AD8" i="12"/>
  <c r="AD9" i="12"/>
  <c r="L9" i="5"/>
  <c r="L11" i="5"/>
  <c r="L7" i="5"/>
  <c r="L28" i="5"/>
  <c r="L33" i="5"/>
  <c r="L40" i="5"/>
  <c r="L52" i="5"/>
  <c r="L107" i="1"/>
  <c r="Y26" i="10"/>
  <c r="K53" i="5"/>
  <c r="K52" i="5"/>
  <c r="K107" i="1"/>
  <c r="U26" i="10"/>
  <c r="J53" i="5"/>
  <c r="J52" i="5"/>
  <c r="J107" i="1"/>
  <c r="Q26" i="10"/>
  <c r="I53" i="5"/>
  <c r="I52" i="5"/>
  <c r="I107" i="1"/>
  <c r="M26" i="10"/>
  <c r="H53" i="5"/>
  <c r="H52" i="5"/>
  <c r="H107" i="1"/>
  <c r="I26" i="10"/>
  <c r="G53" i="5"/>
  <c r="G52" i="5"/>
  <c r="G107" i="1"/>
  <c r="F107" i="1"/>
  <c r="G99" i="1"/>
  <c r="H99" i="1"/>
  <c r="I99" i="1"/>
  <c r="J99" i="1"/>
  <c r="K99" i="1"/>
  <c r="L99" i="1"/>
  <c r="M99" i="1"/>
  <c r="N99" i="1"/>
  <c r="O99" i="1"/>
  <c r="O61" i="8"/>
  <c r="O63" i="8"/>
  <c r="P60" i="8"/>
  <c r="P62" i="8"/>
  <c r="P30" i="8"/>
  <c r="O68" i="8"/>
  <c r="P65" i="8"/>
  <c r="P67" i="8"/>
  <c r="P31" i="8"/>
  <c r="P29" i="8"/>
  <c r="O71" i="8"/>
  <c r="O76" i="8"/>
  <c r="O86" i="8"/>
  <c r="O91" i="8"/>
  <c r="O20" i="5"/>
  <c r="O25" i="5"/>
  <c r="O26" i="5"/>
  <c r="AM18" i="12"/>
  <c r="AM8" i="12"/>
  <c r="AN18" i="12"/>
  <c r="AN8" i="12"/>
  <c r="AO18" i="12"/>
  <c r="AO8" i="12"/>
  <c r="AP18" i="12"/>
  <c r="AP8" i="12"/>
  <c r="AP9" i="12"/>
  <c r="O9" i="5"/>
  <c r="O11" i="5"/>
  <c r="O13" i="5"/>
  <c r="O14" i="5"/>
  <c r="O7" i="5"/>
  <c r="O28" i="5"/>
  <c r="O33" i="5"/>
  <c r="O40" i="5"/>
  <c r="O52" i="5"/>
  <c r="O107" i="1"/>
  <c r="M108" i="1"/>
  <c r="N108" i="1"/>
  <c r="O108" i="1"/>
  <c r="M31" i="4"/>
  <c r="N31" i="4"/>
  <c r="O31" i="4"/>
  <c r="O143" i="1"/>
  <c r="O142" i="1"/>
  <c r="M139" i="1"/>
  <c r="N139" i="1"/>
  <c r="O139" i="1"/>
  <c r="M141" i="1"/>
  <c r="N141" i="1"/>
  <c r="O141" i="1"/>
  <c r="AD26" i="16"/>
  <c r="AH26" i="16"/>
  <c r="AL26" i="16"/>
  <c r="AP26" i="16"/>
  <c r="AD125" i="16"/>
  <c r="AH125" i="16"/>
  <c r="AL125" i="16"/>
  <c r="AP125" i="16"/>
  <c r="O148" i="1"/>
  <c r="O138" i="1"/>
  <c r="M130" i="1"/>
  <c r="N130" i="1"/>
  <c r="O130" i="1"/>
  <c r="O129" i="1"/>
  <c r="O128" i="1"/>
  <c r="O134" i="1"/>
  <c r="O133" i="1"/>
  <c r="O127" i="1"/>
  <c r="O112" i="1"/>
  <c r="O115" i="1"/>
  <c r="O110" i="1"/>
  <c r="O121" i="1"/>
  <c r="O118" i="1"/>
  <c r="M155" i="1"/>
  <c r="N155" i="1"/>
  <c r="O155" i="1"/>
  <c r="O153" i="1"/>
  <c r="O151" i="1"/>
  <c r="O109" i="1"/>
  <c r="AD116" i="16"/>
  <c r="AH116" i="16"/>
  <c r="AL116" i="16"/>
  <c r="AP116" i="16"/>
  <c r="O147" i="1"/>
  <c r="N147" i="1"/>
  <c r="N148" i="1"/>
  <c r="O18" i="6"/>
  <c r="O8" i="4"/>
  <c r="M28" i="4"/>
  <c r="N28" i="4"/>
  <c r="O28" i="4"/>
  <c r="O11" i="4"/>
  <c r="N8" i="4"/>
  <c r="N11" i="4"/>
  <c r="O16" i="4"/>
  <c r="O15" i="6"/>
  <c r="O16" i="6"/>
  <c r="O51" i="6"/>
  <c r="O46" i="6"/>
  <c r="O61" i="6"/>
  <c r="O27" i="6"/>
  <c r="O25" i="6"/>
  <c r="O22" i="6"/>
  <c r="O40" i="6"/>
  <c r="O38" i="6"/>
  <c r="P42" i="8"/>
  <c r="M147" i="1"/>
  <c r="M148" i="1"/>
  <c r="N18" i="6"/>
  <c r="M8" i="4"/>
  <c r="M11" i="4"/>
  <c r="N16" i="4"/>
  <c r="N15" i="6"/>
  <c r="N16" i="6"/>
  <c r="N51" i="6"/>
  <c r="N46" i="6"/>
  <c r="N61" i="6"/>
  <c r="N27" i="6"/>
  <c r="N25" i="6"/>
  <c r="N22" i="6"/>
  <c r="N40" i="6"/>
  <c r="N38" i="6"/>
  <c r="O42" i="8"/>
  <c r="L147" i="1"/>
  <c r="L148" i="1"/>
  <c r="M18" i="6"/>
  <c r="L8" i="4"/>
  <c r="L11" i="4"/>
  <c r="M16" i="4"/>
  <c r="M15" i="6"/>
  <c r="M16" i="6"/>
  <c r="M51" i="6"/>
  <c r="M46" i="6"/>
  <c r="M61" i="6"/>
  <c r="M27" i="6"/>
  <c r="M25" i="6"/>
  <c r="M22" i="6"/>
  <c r="M40" i="6"/>
  <c r="M38" i="6"/>
  <c r="N42" i="8"/>
  <c r="L18" i="6"/>
  <c r="L15" i="6"/>
  <c r="L16" i="6"/>
  <c r="L51" i="6"/>
  <c r="L46" i="6"/>
  <c r="L61" i="6"/>
  <c r="L27" i="6"/>
  <c r="L25" i="6"/>
  <c r="L22" i="6"/>
  <c r="L40" i="6"/>
  <c r="L38" i="6"/>
  <c r="M42" i="8"/>
  <c r="K15" i="6"/>
  <c r="K16" i="6"/>
  <c r="K12" i="6"/>
  <c r="K59" i="6"/>
  <c r="Y14" i="10"/>
  <c r="K55" i="6"/>
  <c r="K51" i="6"/>
  <c r="K61" i="6"/>
  <c r="J15" i="6"/>
  <c r="J16" i="6"/>
  <c r="J12" i="6"/>
  <c r="J59" i="6"/>
  <c r="J55" i="6"/>
  <c r="J51" i="6"/>
  <c r="J61" i="6"/>
  <c r="I12" i="6"/>
  <c r="I59" i="6"/>
  <c r="I55" i="6"/>
  <c r="I51" i="6"/>
  <c r="I61" i="6"/>
  <c r="H12" i="6"/>
  <c r="H59" i="6"/>
  <c r="H55" i="6"/>
  <c r="H51" i="6"/>
  <c r="H61" i="6"/>
  <c r="G12" i="6"/>
  <c r="G10" i="6"/>
  <c r="G59" i="6"/>
  <c r="G55" i="6"/>
  <c r="G51" i="6"/>
  <c r="G61" i="6"/>
  <c r="O76" i="1"/>
  <c r="M84" i="1"/>
  <c r="N84" i="1"/>
  <c r="O84" i="1"/>
  <c r="O81" i="1"/>
  <c r="O41" i="4"/>
  <c r="O51" i="1"/>
  <c r="O52" i="1"/>
  <c r="O53" i="1"/>
  <c r="O54" i="1"/>
  <c r="O55" i="1"/>
  <c r="O50" i="1"/>
  <c r="M59" i="1"/>
  <c r="N59" i="1"/>
  <c r="O59" i="1"/>
  <c r="O58" i="1"/>
  <c r="O57" i="1"/>
  <c r="O63" i="1"/>
  <c r="O62" i="1"/>
  <c r="O69" i="1"/>
  <c r="O68" i="1"/>
  <c r="M73" i="1"/>
  <c r="N73" i="1"/>
  <c r="O73" i="1"/>
  <c r="O67" i="1"/>
  <c r="O56" i="1"/>
  <c r="M91" i="1"/>
  <c r="N91" i="1"/>
  <c r="O91" i="1"/>
  <c r="P61" i="8"/>
  <c r="P63" i="8"/>
  <c r="P8" i="8"/>
  <c r="O9" i="1"/>
  <c r="P68" i="8"/>
  <c r="P9" i="8"/>
  <c r="O11" i="1"/>
  <c r="O8" i="1"/>
  <c r="P71" i="8"/>
  <c r="P73" i="8"/>
  <c r="P11" i="8"/>
  <c r="O15" i="1"/>
  <c r="P76" i="8"/>
  <c r="P78" i="8"/>
  <c r="P12" i="8"/>
  <c r="O16" i="1"/>
  <c r="P81" i="8"/>
  <c r="P83" i="8"/>
  <c r="P13" i="8"/>
  <c r="O17" i="1"/>
  <c r="P86" i="8"/>
  <c r="P88" i="8"/>
  <c r="P14" i="8"/>
  <c r="O18" i="1"/>
  <c r="P91" i="8"/>
  <c r="P93" i="8"/>
  <c r="P15" i="8"/>
  <c r="O19" i="1"/>
  <c r="O14" i="1"/>
  <c r="M20" i="1"/>
  <c r="N20" i="1"/>
  <c r="O20" i="1"/>
  <c r="O13" i="1"/>
  <c r="O22" i="1"/>
  <c r="O30" i="1"/>
  <c r="M38" i="1"/>
  <c r="N38" i="1"/>
  <c r="O38" i="1"/>
  <c r="O35" i="1"/>
  <c r="O40" i="1"/>
  <c r="O29" i="1"/>
  <c r="O26" i="1"/>
  <c r="M47" i="1"/>
  <c r="N47" i="1"/>
  <c r="O47" i="1"/>
  <c r="M48" i="1"/>
  <c r="N48" i="1"/>
  <c r="O48" i="1"/>
  <c r="O46" i="1"/>
  <c r="O7" i="1"/>
  <c r="M92" i="1"/>
  <c r="N92" i="1"/>
  <c r="O92" i="1"/>
  <c r="M93" i="1"/>
  <c r="N93" i="1"/>
  <c r="O93" i="1"/>
  <c r="M6" i="1"/>
  <c r="N6" i="1"/>
  <c r="O6" i="1"/>
  <c r="O96" i="1"/>
  <c r="N143" i="1"/>
  <c r="N142" i="1"/>
  <c r="N138" i="1"/>
  <c r="N129" i="1"/>
  <c r="N128" i="1"/>
  <c r="N134" i="1"/>
  <c r="N133" i="1"/>
  <c r="N127" i="1"/>
  <c r="N112" i="1"/>
  <c r="N115" i="1"/>
  <c r="N110" i="1"/>
  <c r="N121" i="1"/>
  <c r="N118" i="1"/>
  <c r="N153" i="1"/>
  <c r="N151" i="1"/>
  <c r="N109" i="1"/>
  <c r="N76" i="1"/>
  <c r="N81" i="1"/>
  <c r="N41" i="4"/>
  <c r="N51" i="1"/>
  <c r="N52" i="1"/>
  <c r="N53" i="1"/>
  <c r="N54" i="1"/>
  <c r="N55" i="1"/>
  <c r="N50" i="1"/>
  <c r="N58" i="1"/>
  <c r="N57" i="1"/>
  <c r="N63" i="1"/>
  <c r="N62" i="1"/>
  <c r="N69" i="1"/>
  <c r="N68" i="1"/>
  <c r="N67" i="1"/>
  <c r="N56" i="1"/>
  <c r="O8" i="8"/>
  <c r="N9" i="1"/>
  <c r="O9" i="8"/>
  <c r="N11" i="1"/>
  <c r="N8" i="1"/>
  <c r="O11" i="8"/>
  <c r="N15" i="1"/>
  <c r="O12" i="8"/>
  <c r="N16" i="1"/>
  <c r="O13" i="8"/>
  <c r="N17" i="1"/>
  <c r="O14" i="8"/>
  <c r="N18" i="1"/>
  <c r="O15" i="8"/>
  <c r="N19" i="1"/>
  <c r="N14" i="1"/>
  <c r="N13" i="1"/>
  <c r="N22" i="1"/>
  <c r="N30" i="1"/>
  <c r="N35" i="1"/>
  <c r="N40" i="1"/>
  <c r="N29" i="1"/>
  <c r="N26" i="1"/>
  <c r="N46" i="1"/>
  <c r="N7" i="1"/>
  <c r="N96" i="1"/>
  <c r="M143" i="1"/>
  <c r="M142" i="1"/>
  <c r="M138" i="1"/>
  <c r="M129" i="1"/>
  <c r="M128" i="1"/>
  <c r="M134" i="1"/>
  <c r="M133" i="1"/>
  <c r="M127" i="1"/>
  <c r="M112" i="1"/>
  <c r="M115" i="1"/>
  <c r="M110" i="1"/>
  <c r="M121" i="1"/>
  <c r="M118" i="1"/>
  <c r="M153" i="1"/>
  <c r="M151" i="1"/>
  <c r="M109" i="1"/>
  <c r="M76" i="1"/>
  <c r="M81" i="1"/>
  <c r="M41" i="4"/>
  <c r="M51" i="1"/>
  <c r="M52" i="1"/>
  <c r="M53" i="1"/>
  <c r="M54" i="1"/>
  <c r="M55" i="1"/>
  <c r="M50" i="1"/>
  <c r="M58" i="1"/>
  <c r="M57" i="1"/>
  <c r="M63" i="1"/>
  <c r="M62" i="1"/>
  <c r="M69" i="1"/>
  <c r="M68" i="1"/>
  <c r="M67" i="1"/>
  <c r="M56" i="1"/>
  <c r="N8" i="8"/>
  <c r="M9" i="1"/>
  <c r="N9" i="8"/>
  <c r="M11" i="1"/>
  <c r="M8" i="1"/>
  <c r="N11" i="8"/>
  <c r="M15" i="1"/>
  <c r="N12" i="8"/>
  <c r="M16" i="1"/>
  <c r="N13" i="8"/>
  <c r="M17" i="1"/>
  <c r="N14" i="8"/>
  <c r="M18" i="1"/>
  <c r="N15" i="8"/>
  <c r="M19" i="1"/>
  <c r="M14" i="1"/>
  <c r="M13" i="1"/>
  <c r="M22" i="1"/>
  <c r="M30" i="1"/>
  <c r="M35" i="1"/>
  <c r="M40" i="1"/>
  <c r="M29" i="1"/>
  <c r="M26" i="1"/>
  <c r="M46" i="1"/>
  <c r="M7" i="1"/>
  <c r="M96" i="1"/>
  <c r="L143" i="1"/>
  <c r="L142" i="1"/>
  <c r="L138" i="1"/>
  <c r="L129" i="1"/>
  <c r="L128" i="1"/>
  <c r="L134" i="1"/>
  <c r="L133" i="1"/>
  <c r="L127" i="1"/>
  <c r="L112" i="1"/>
  <c r="L115" i="1"/>
  <c r="L110" i="1"/>
  <c r="L121" i="1"/>
  <c r="L118" i="1"/>
  <c r="L153" i="1"/>
  <c r="L151" i="1"/>
  <c r="L109" i="1"/>
  <c r="L76" i="1"/>
  <c r="L81" i="1"/>
  <c r="L41" i="4"/>
  <c r="L51" i="1"/>
  <c r="L52" i="1"/>
  <c r="L53" i="1"/>
  <c r="L54" i="1"/>
  <c r="L55" i="1"/>
  <c r="L50" i="1"/>
  <c r="L58" i="1"/>
  <c r="L57" i="1"/>
  <c r="L63" i="1"/>
  <c r="L62" i="1"/>
  <c r="L69" i="1"/>
  <c r="L68" i="1"/>
  <c r="L67" i="1"/>
  <c r="L56" i="1"/>
  <c r="M8" i="8"/>
  <c r="L9" i="1"/>
  <c r="M9" i="8"/>
  <c r="L11" i="1"/>
  <c r="L8" i="1"/>
  <c r="M11" i="8"/>
  <c r="L15" i="1"/>
  <c r="M12" i="8"/>
  <c r="L16" i="1"/>
  <c r="M13" i="8"/>
  <c r="L17" i="1"/>
  <c r="M14" i="8"/>
  <c r="L18" i="1"/>
  <c r="M15" i="8"/>
  <c r="L19" i="1"/>
  <c r="L14" i="1"/>
  <c r="L13" i="1"/>
  <c r="L22" i="1"/>
  <c r="L30" i="1"/>
  <c r="L35" i="1"/>
  <c r="L40" i="1"/>
  <c r="L29" i="1"/>
  <c r="L26" i="1"/>
  <c r="L46" i="1"/>
  <c r="L7" i="1"/>
  <c r="L155" i="1"/>
  <c r="L141" i="1"/>
  <c r="L139" i="1"/>
  <c r="L130" i="1"/>
  <c r="L108" i="1"/>
  <c r="L96" i="1"/>
  <c r="L93" i="1"/>
  <c r="L92" i="1"/>
  <c r="L91" i="1"/>
  <c r="L84" i="1"/>
  <c r="L73" i="1"/>
  <c r="L59" i="1"/>
  <c r="L48" i="1"/>
  <c r="L47" i="1"/>
  <c r="L38" i="1"/>
  <c r="L20" i="1"/>
  <c r="L6" i="1"/>
  <c r="M6" i="6"/>
  <c r="N6" i="6"/>
  <c r="O6" i="6"/>
  <c r="L6" i="6"/>
  <c r="M6" i="4"/>
  <c r="N6" i="4"/>
  <c r="O6" i="4"/>
  <c r="O27" i="4"/>
  <c r="O35" i="4"/>
  <c r="O32" i="4"/>
  <c r="O14" i="4"/>
  <c r="N27" i="4"/>
  <c r="N35" i="4"/>
  <c r="N32" i="4"/>
  <c r="N14" i="4"/>
  <c r="M27" i="4"/>
  <c r="M35" i="4"/>
  <c r="M32" i="4"/>
  <c r="M14" i="4"/>
  <c r="L27" i="4"/>
  <c r="L35" i="4"/>
  <c r="L32" i="4"/>
  <c r="L31" i="4"/>
  <c r="L28" i="4"/>
  <c r="L14" i="4"/>
  <c r="L6" i="4"/>
  <c r="O69" i="5"/>
  <c r="O70" i="5"/>
  <c r="O68" i="5"/>
  <c r="O67" i="5"/>
  <c r="O66" i="5"/>
  <c r="O61" i="5"/>
  <c r="M8" i="5"/>
  <c r="N8" i="5"/>
  <c r="O8" i="5"/>
  <c r="O10" i="5"/>
  <c r="M6" i="5"/>
  <c r="N6" i="5"/>
  <c r="O6" i="5"/>
  <c r="N69" i="5"/>
  <c r="N70" i="5"/>
  <c r="N68" i="5"/>
  <c r="N67" i="5"/>
  <c r="N66" i="5"/>
  <c r="N61" i="5"/>
  <c r="N10" i="5"/>
  <c r="M69" i="5"/>
  <c r="M70" i="5"/>
  <c r="M68" i="5"/>
  <c r="M67" i="5"/>
  <c r="M66" i="5"/>
  <c r="M61" i="5"/>
  <c r="M10" i="5"/>
  <c r="L69" i="5"/>
  <c r="L70" i="5"/>
  <c r="L68" i="5"/>
  <c r="L67" i="5"/>
  <c r="L66" i="5"/>
  <c r="L61" i="5"/>
  <c r="L8" i="5"/>
  <c r="L14" i="5"/>
  <c r="L13" i="5"/>
  <c r="L10" i="5"/>
  <c r="L6" i="5"/>
  <c r="AC26" i="16"/>
  <c r="AG26" i="16"/>
  <c r="AK26" i="16"/>
  <c r="AO26" i="16"/>
  <c r="AC125" i="16"/>
  <c r="AG125" i="16"/>
  <c r="AK125" i="16"/>
  <c r="AO125" i="16"/>
  <c r="AC116" i="16"/>
  <c r="AG116" i="16"/>
  <c r="AK116" i="16"/>
  <c r="AO116" i="16"/>
  <c r="AB26" i="16"/>
  <c r="AF26" i="16"/>
  <c r="AJ26" i="16"/>
  <c r="AN26" i="16"/>
  <c r="AB125" i="16"/>
  <c r="AF125" i="16"/>
  <c r="AJ125" i="16"/>
  <c r="AN125" i="16"/>
  <c r="AB116" i="16"/>
  <c r="AF116" i="16"/>
  <c r="AJ116" i="16"/>
  <c r="AN116" i="16"/>
  <c r="AA26" i="16"/>
  <c r="AE26" i="16"/>
  <c r="AI26" i="16"/>
  <c r="AM26" i="16"/>
  <c r="AA125" i="16"/>
  <c r="AE125" i="16"/>
  <c r="AI125" i="16"/>
  <c r="AM125" i="16"/>
  <c r="AA116" i="16"/>
  <c r="AE116" i="16"/>
  <c r="AI116" i="16"/>
  <c r="AM116" i="16"/>
  <c r="AP19" i="12"/>
  <c r="AP15" i="12"/>
  <c r="AO15" i="12"/>
  <c r="AN15" i="12"/>
  <c r="AM15" i="12"/>
  <c r="AL19" i="12"/>
  <c r="AL15" i="12"/>
  <c r="AK15" i="12"/>
  <c r="AJ15" i="12"/>
  <c r="AI15" i="12"/>
  <c r="AH19" i="12"/>
  <c r="AH15" i="12"/>
  <c r="AG15" i="12"/>
  <c r="AF15" i="12"/>
  <c r="AE15" i="12"/>
  <c r="AD19" i="12"/>
  <c r="AD15" i="12"/>
  <c r="AC15" i="12"/>
  <c r="AB15" i="12"/>
  <c r="AA15" i="12"/>
  <c r="G31" i="25"/>
  <c r="G32" i="25"/>
  <c r="H31" i="25"/>
  <c r="H32" i="25"/>
  <c r="I31" i="25"/>
  <c r="I32" i="25"/>
  <c r="J32" i="25"/>
  <c r="C23" i="23"/>
  <c r="C24" i="23"/>
  <c r="C25" i="23"/>
  <c r="B31" i="25"/>
  <c r="B32" i="25"/>
  <c r="D23" i="23"/>
  <c r="D24" i="23"/>
  <c r="D25" i="23"/>
  <c r="C31" i="25"/>
  <c r="C32" i="25"/>
  <c r="E23" i="23"/>
  <c r="E24" i="23"/>
  <c r="E25" i="23"/>
  <c r="D31" i="25"/>
  <c r="D32" i="25"/>
  <c r="F23" i="23"/>
  <c r="F24" i="23"/>
  <c r="F25" i="23"/>
  <c r="E31" i="25"/>
  <c r="E32" i="25"/>
  <c r="G23" i="23"/>
  <c r="G24" i="23"/>
  <c r="G25" i="23"/>
  <c r="F31" i="25"/>
  <c r="F32" i="25"/>
  <c r="K32" i="25"/>
  <c r="K31" i="25"/>
  <c r="B21" i="23"/>
  <c r="B22" i="23"/>
  <c r="B25" i="23"/>
  <c r="B26" i="23"/>
  <c r="B12" i="25"/>
  <c r="B14" i="25"/>
  <c r="B45" i="25"/>
  <c r="B44" i="25"/>
  <c r="B11" i="25"/>
  <c r="B13" i="25"/>
  <c r="B39" i="25"/>
  <c r="B38" i="25"/>
  <c r="L12" i="25"/>
  <c r="L11" i="25"/>
  <c r="H6" i="24"/>
  <c r="I6" i="24"/>
  <c r="J6" i="24"/>
  <c r="K6" i="24"/>
  <c r="C6" i="24"/>
  <c r="D6" i="24"/>
  <c r="E6" i="24"/>
  <c r="F6" i="24"/>
  <c r="G6" i="24"/>
  <c r="B6" i="24"/>
  <c r="B30" i="24"/>
  <c r="H5" i="24"/>
  <c r="I5" i="24"/>
  <c r="J5" i="24"/>
  <c r="C5" i="24"/>
  <c r="D5" i="24"/>
  <c r="E5" i="24"/>
  <c r="F5" i="24"/>
  <c r="B5" i="24"/>
  <c r="B29" i="24"/>
  <c r="B26" i="24"/>
  <c r="B25" i="24"/>
  <c r="B24" i="24"/>
  <c r="B23" i="24"/>
  <c r="B22" i="24"/>
  <c r="B21" i="24"/>
  <c r="B20" i="24"/>
  <c r="B16" i="24"/>
  <c r="B15" i="24"/>
  <c r="B14" i="24"/>
  <c r="B13" i="24"/>
  <c r="B12" i="24"/>
  <c r="B11" i="24"/>
  <c r="B10" i="24"/>
  <c r="B33" i="23"/>
  <c r="B32" i="23"/>
  <c r="B27" i="23"/>
  <c r="C27" i="23"/>
  <c r="D27" i="23"/>
  <c r="E27" i="23"/>
  <c r="F27" i="23"/>
  <c r="G27" i="23"/>
  <c r="H27" i="23"/>
  <c r="I27" i="23"/>
  <c r="J27" i="23"/>
  <c r="K27" i="23"/>
  <c r="B14" i="23"/>
  <c r="C14" i="23"/>
  <c r="D14" i="23"/>
  <c r="E14" i="23"/>
  <c r="F14" i="23"/>
  <c r="G14" i="23"/>
  <c r="H14" i="23"/>
  <c r="I14" i="23"/>
  <c r="J14" i="23"/>
  <c r="K14" i="23"/>
  <c r="B5" i="22"/>
  <c r="L33" i="22"/>
  <c r="H33" i="22"/>
  <c r="I33" i="22"/>
  <c r="J33" i="22"/>
  <c r="K33" i="22"/>
  <c r="C33" i="22"/>
  <c r="D33" i="22"/>
  <c r="E33" i="22"/>
  <c r="F33" i="22"/>
  <c r="G33" i="22"/>
  <c r="B56" i="22"/>
  <c r="L33" i="20"/>
  <c r="L35" i="20"/>
  <c r="L34" i="20"/>
  <c r="L32" i="20"/>
  <c r="L27" i="20"/>
  <c r="L25" i="20"/>
  <c r="K33" i="20"/>
  <c r="K35" i="20"/>
  <c r="K34" i="20"/>
  <c r="K32" i="20"/>
  <c r="K27" i="20"/>
  <c r="K25" i="20"/>
  <c r="J33" i="20"/>
  <c r="J35" i="20"/>
  <c r="J34" i="20"/>
  <c r="J32" i="20"/>
  <c r="J27" i="20"/>
  <c r="J25" i="20"/>
  <c r="I33" i="20"/>
  <c r="I35" i="20"/>
  <c r="I34" i="20"/>
  <c r="I32" i="20"/>
  <c r="I27" i="20"/>
  <c r="I25" i="20"/>
  <c r="L67" i="20"/>
  <c r="L64" i="20"/>
  <c r="E63" i="20"/>
  <c r="F63" i="20"/>
  <c r="G63" i="20"/>
  <c r="H63" i="20"/>
  <c r="I63" i="20"/>
  <c r="J63" i="20"/>
  <c r="K63" i="20"/>
  <c r="L63" i="20"/>
  <c r="L61" i="20"/>
  <c r="L59" i="20"/>
  <c r="K67" i="20"/>
  <c r="K64" i="20"/>
  <c r="K61" i="20"/>
  <c r="K59" i="20"/>
  <c r="J67" i="20"/>
  <c r="J64" i="20"/>
  <c r="J61" i="20"/>
  <c r="J59" i="20"/>
  <c r="I67" i="20"/>
  <c r="I64" i="20"/>
  <c r="I61" i="20"/>
  <c r="I59" i="20"/>
  <c r="L49" i="20"/>
  <c r="L48" i="20"/>
  <c r="L45" i="20"/>
  <c r="L42" i="20"/>
  <c r="L41" i="20"/>
  <c r="L40" i="20"/>
  <c r="K49" i="20"/>
  <c r="K48" i="20"/>
  <c r="K45" i="20"/>
  <c r="K42" i="20"/>
  <c r="K41" i="20"/>
  <c r="K40" i="20"/>
  <c r="J49" i="20"/>
  <c r="J48" i="20"/>
  <c r="J45" i="20"/>
  <c r="J42" i="20"/>
  <c r="J41" i="20"/>
  <c r="J40" i="20"/>
  <c r="I49" i="20"/>
  <c r="I48" i="20"/>
  <c r="I45" i="20"/>
  <c r="I42" i="20"/>
  <c r="I41" i="20"/>
  <c r="I40" i="20"/>
  <c r="I7" i="20"/>
  <c r="J7" i="20"/>
  <c r="K7" i="20"/>
  <c r="L7" i="20"/>
  <c r="I4" i="20"/>
  <c r="J4" i="20"/>
  <c r="K4" i="20"/>
  <c r="L4" i="20"/>
  <c r="I3" i="20"/>
  <c r="J3" i="20"/>
  <c r="K3" i="20"/>
  <c r="L3" i="20"/>
  <c r="N28" i="8"/>
  <c r="O28" i="8"/>
  <c r="P28" i="8"/>
  <c r="O39" i="8"/>
  <c r="N39" i="8"/>
  <c r="M39" i="8"/>
  <c r="M28" i="8"/>
  <c r="P10" i="8"/>
  <c r="P7" i="8"/>
  <c r="O10" i="8"/>
  <c r="O7" i="8"/>
  <c r="N10" i="8"/>
  <c r="N7" i="8"/>
  <c r="M10" i="8"/>
  <c r="M7" i="8"/>
  <c r="M65" i="8"/>
  <c r="M60" i="8"/>
  <c r="M58" i="8"/>
  <c r="N58" i="8"/>
  <c r="O58" i="8"/>
  <c r="P58" i="8"/>
  <c r="M53" i="8"/>
  <c r="N53" i="8"/>
  <c r="O53" i="8"/>
  <c r="P53" i="8"/>
  <c r="N41" i="8"/>
  <c r="O41" i="8"/>
  <c r="P41" i="8"/>
  <c r="M41" i="8"/>
  <c r="N6" i="8"/>
  <c r="O6" i="8"/>
  <c r="P6" i="8"/>
  <c r="M6" i="8"/>
  <c r="E15" i="10"/>
  <c r="Y15" i="10"/>
  <c r="K122" i="1"/>
  <c r="H68" i="8"/>
  <c r="I65" i="8"/>
  <c r="I67" i="8"/>
  <c r="I68" i="8"/>
  <c r="J65" i="8"/>
  <c r="J67" i="8"/>
  <c r="J68" i="8"/>
  <c r="K65" i="8"/>
  <c r="K67" i="8"/>
  <c r="K31" i="8"/>
  <c r="K29" i="8"/>
  <c r="K68" i="8"/>
  <c r="L65" i="8"/>
  <c r="L67" i="8"/>
  <c r="L31" i="8"/>
  <c r="L29" i="8"/>
  <c r="H31" i="4"/>
  <c r="I31" i="4"/>
  <c r="J31" i="4"/>
  <c r="K31" i="4"/>
  <c r="G31" i="4"/>
  <c r="H28" i="4"/>
  <c r="I28" i="4"/>
  <c r="J28" i="4"/>
  <c r="K28" i="4"/>
  <c r="J31" i="8"/>
  <c r="J29" i="8"/>
  <c r="I31" i="8"/>
  <c r="I29" i="8"/>
  <c r="F31" i="4"/>
  <c r="F28" i="4"/>
  <c r="B59" i="27"/>
  <c r="B16" i="27"/>
  <c r="B17" i="27"/>
  <c r="K14" i="12"/>
  <c r="C15" i="12"/>
  <c r="D15" i="12"/>
  <c r="E15" i="12"/>
  <c r="F15" i="12"/>
  <c r="L14" i="12"/>
  <c r="M14" i="12"/>
  <c r="N14" i="12"/>
  <c r="G28" i="4"/>
  <c r="G14" i="12"/>
  <c r="H14" i="12"/>
  <c r="I14" i="12"/>
  <c r="J14" i="12"/>
  <c r="D71" i="20"/>
  <c r="H42" i="8"/>
  <c r="I42" i="8"/>
  <c r="J42" i="8"/>
  <c r="K42" i="8"/>
  <c r="L42" i="8"/>
  <c r="G42" i="8"/>
  <c r="G61" i="8"/>
  <c r="G62" i="8"/>
  <c r="G63" i="8"/>
  <c r="H60" i="8"/>
  <c r="H62" i="8"/>
  <c r="H30" i="8"/>
  <c r="G66" i="8"/>
  <c r="G67" i="8"/>
  <c r="G68" i="8"/>
  <c r="H65" i="8"/>
  <c r="H67" i="8"/>
  <c r="H31" i="8"/>
  <c r="H29" i="8"/>
  <c r="G72" i="8"/>
  <c r="G77" i="8"/>
  <c r="G82" i="8"/>
  <c r="G87" i="8"/>
  <c r="G92" i="8"/>
  <c r="D48" i="20"/>
  <c r="B4" i="22"/>
  <c r="H61" i="8"/>
  <c r="H63" i="8"/>
  <c r="I60" i="8"/>
  <c r="I62" i="8"/>
  <c r="I30" i="8"/>
  <c r="H71" i="8"/>
  <c r="H86" i="8"/>
  <c r="H91" i="8"/>
  <c r="E48" i="20"/>
  <c r="G30" i="8"/>
  <c r="G31" i="8"/>
  <c r="G29" i="8"/>
  <c r="G33" i="8"/>
  <c r="G34" i="8"/>
  <c r="G35" i="8"/>
  <c r="G36" i="8"/>
  <c r="G37" i="8"/>
  <c r="G32" i="8"/>
  <c r="G38" i="8"/>
  <c r="C16" i="20"/>
  <c r="C71" i="20"/>
  <c r="C72" i="20"/>
  <c r="I61" i="8"/>
  <c r="I63" i="8"/>
  <c r="J60" i="8"/>
  <c r="J62" i="8"/>
  <c r="J30" i="8"/>
  <c r="I71" i="8"/>
  <c r="I76" i="8"/>
  <c r="I86" i="8"/>
  <c r="I91" i="8"/>
  <c r="F4" i="20"/>
  <c r="F48" i="20"/>
  <c r="J61" i="8"/>
  <c r="J63" i="8"/>
  <c r="K60" i="8"/>
  <c r="K62" i="8"/>
  <c r="K30" i="8"/>
  <c r="J71" i="8"/>
  <c r="J76" i="8"/>
  <c r="J86" i="8"/>
  <c r="J91" i="8"/>
  <c r="G4" i="20"/>
  <c r="G48" i="20"/>
  <c r="K61" i="8"/>
  <c r="K63" i="8"/>
  <c r="L60" i="8"/>
  <c r="L62" i="8"/>
  <c r="L30" i="8"/>
  <c r="K71" i="8"/>
  <c r="K76" i="8"/>
  <c r="K86" i="8"/>
  <c r="K91" i="8"/>
  <c r="H4" i="20"/>
  <c r="H48" i="20"/>
  <c r="D63" i="20"/>
  <c r="C63" i="20"/>
  <c r="F16" i="5"/>
  <c r="D70" i="20"/>
  <c r="E70" i="20"/>
  <c r="F70" i="20"/>
  <c r="G70" i="20"/>
  <c r="H70" i="20"/>
  <c r="D18" i="20"/>
  <c r="B67" i="16"/>
  <c r="G10" i="16"/>
  <c r="G18" i="5"/>
  <c r="K70" i="16"/>
  <c r="L70" i="16"/>
  <c r="M70" i="16"/>
  <c r="N70" i="16"/>
  <c r="O70" i="16"/>
  <c r="P70" i="16"/>
  <c r="Q70" i="16"/>
  <c r="R70" i="16"/>
  <c r="S70" i="16"/>
  <c r="T70" i="16"/>
  <c r="U70" i="16"/>
  <c r="V70" i="16"/>
  <c r="W70" i="16"/>
  <c r="X70" i="16"/>
  <c r="Y70" i="16"/>
  <c r="Z70" i="16"/>
  <c r="Z4" i="16"/>
  <c r="Y4" i="16"/>
  <c r="X4" i="16"/>
  <c r="W4" i="16"/>
  <c r="V4" i="16"/>
  <c r="U4" i="16"/>
  <c r="T4" i="16"/>
  <c r="S4" i="16"/>
  <c r="R4" i="16"/>
  <c r="Q4" i="16"/>
  <c r="P4" i="16"/>
  <c r="O4" i="16"/>
  <c r="N4" i="16"/>
  <c r="M4" i="16"/>
  <c r="L4" i="16"/>
  <c r="K4" i="16"/>
  <c r="J4" i="16"/>
  <c r="I4" i="16"/>
  <c r="H4" i="16"/>
  <c r="G4" i="16"/>
  <c r="F4" i="16"/>
  <c r="E4" i="16"/>
  <c r="D4" i="16"/>
  <c r="C4" i="16"/>
  <c r="B60" i="16"/>
  <c r="B59" i="16"/>
  <c r="G70" i="16"/>
  <c r="H70" i="16"/>
  <c r="I70" i="16"/>
  <c r="J70" i="16"/>
  <c r="B95" i="16"/>
  <c r="G99" i="16"/>
  <c r="J39" i="16"/>
  <c r="J88" i="16"/>
  <c r="B119" i="16"/>
  <c r="B120" i="16"/>
  <c r="G124" i="16"/>
  <c r="H124" i="16"/>
  <c r="I124" i="16"/>
  <c r="J124" i="16"/>
  <c r="J131" i="16"/>
  <c r="J6" i="16"/>
  <c r="B44" i="16"/>
  <c r="B46" i="16"/>
  <c r="B47" i="16"/>
  <c r="B48" i="16"/>
  <c r="B49" i="16"/>
  <c r="B50" i="16"/>
  <c r="B43" i="16"/>
  <c r="G3" i="16"/>
  <c r="H3" i="16"/>
  <c r="I3" i="16"/>
  <c r="J3" i="16"/>
  <c r="G55" i="16"/>
  <c r="G5" i="16"/>
  <c r="H55" i="16"/>
  <c r="H5" i="16"/>
  <c r="I55" i="16"/>
  <c r="I5" i="16"/>
  <c r="J55" i="16"/>
  <c r="J5" i="16"/>
  <c r="G39" i="16"/>
  <c r="G88" i="16"/>
  <c r="G131" i="16"/>
  <c r="G6" i="16"/>
  <c r="H39" i="16"/>
  <c r="H88" i="16"/>
  <c r="H131" i="16"/>
  <c r="H6" i="16"/>
  <c r="I39" i="16"/>
  <c r="I88" i="16"/>
  <c r="I131" i="16"/>
  <c r="I6" i="16"/>
  <c r="G79" i="16"/>
  <c r="G80" i="16"/>
  <c r="G7" i="16"/>
  <c r="H79" i="16"/>
  <c r="H80" i="16"/>
  <c r="H7" i="16"/>
  <c r="I79" i="16"/>
  <c r="I80" i="16"/>
  <c r="I7" i="16"/>
  <c r="J79" i="16"/>
  <c r="J80" i="16"/>
  <c r="J7" i="16"/>
  <c r="B17" i="16"/>
  <c r="B18" i="16"/>
  <c r="B16" i="16"/>
  <c r="G25" i="16"/>
  <c r="G8" i="16"/>
  <c r="H25" i="16"/>
  <c r="H8" i="16"/>
  <c r="I25" i="16"/>
  <c r="I8" i="16"/>
  <c r="J25" i="16"/>
  <c r="J8" i="16"/>
  <c r="B111" i="16"/>
  <c r="G115" i="16"/>
  <c r="G9" i="16"/>
  <c r="H115" i="16"/>
  <c r="H9" i="16"/>
  <c r="I115" i="16"/>
  <c r="I9" i="16"/>
  <c r="J115" i="16"/>
  <c r="J9" i="16"/>
  <c r="H99" i="16"/>
  <c r="H10" i="16"/>
  <c r="I99" i="16"/>
  <c r="I10" i="16"/>
  <c r="J99" i="16"/>
  <c r="J10" i="16"/>
  <c r="G107" i="16"/>
  <c r="G11" i="16"/>
  <c r="H107" i="16"/>
  <c r="H11" i="16"/>
  <c r="I107" i="16"/>
  <c r="I11" i="16"/>
  <c r="J107" i="16"/>
  <c r="J11" i="16"/>
  <c r="G12" i="16"/>
  <c r="G60" i="16"/>
  <c r="H60" i="16"/>
  <c r="I60" i="16"/>
  <c r="J60" i="16"/>
  <c r="C64" i="20"/>
  <c r="W39" i="16"/>
  <c r="W88" i="16"/>
  <c r="K124" i="16"/>
  <c r="L124" i="16"/>
  <c r="M124" i="16"/>
  <c r="N124" i="16"/>
  <c r="O124" i="16"/>
  <c r="P124" i="16"/>
  <c r="Q124" i="16"/>
  <c r="R124" i="16"/>
  <c r="S124" i="16"/>
  <c r="T124" i="16"/>
  <c r="U124" i="16"/>
  <c r="V124" i="16"/>
  <c r="W124" i="16"/>
  <c r="W131" i="16"/>
  <c r="W6" i="16"/>
  <c r="X39" i="16"/>
  <c r="X88" i="16"/>
  <c r="X124" i="16"/>
  <c r="X131" i="16"/>
  <c r="X6" i="16"/>
  <c r="Y39" i="16"/>
  <c r="Y88" i="16"/>
  <c r="Y124" i="16"/>
  <c r="Y131" i="16"/>
  <c r="Y6" i="16"/>
  <c r="Z39" i="16"/>
  <c r="Z88" i="16"/>
  <c r="Z124" i="16"/>
  <c r="Z131" i="16"/>
  <c r="Z6" i="16"/>
  <c r="K19" i="5"/>
  <c r="W79" i="16"/>
  <c r="W80" i="16"/>
  <c r="W7" i="16"/>
  <c r="X79" i="16"/>
  <c r="X80" i="16"/>
  <c r="X7" i="16"/>
  <c r="Y79" i="16"/>
  <c r="Y80" i="16"/>
  <c r="Y7" i="16"/>
  <c r="Z79" i="16"/>
  <c r="Z80" i="16"/>
  <c r="Z7" i="16"/>
  <c r="K20" i="5"/>
  <c r="K25" i="16"/>
  <c r="L25" i="16"/>
  <c r="M25" i="16"/>
  <c r="N25" i="16"/>
  <c r="O25" i="16"/>
  <c r="P25" i="16"/>
  <c r="Q25" i="16"/>
  <c r="R25" i="16"/>
  <c r="S25" i="16"/>
  <c r="T25" i="16"/>
  <c r="U25" i="16"/>
  <c r="V25" i="16"/>
  <c r="W25" i="16"/>
  <c r="W8" i="16"/>
  <c r="X25" i="16"/>
  <c r="X8" i="16"/>
  <c r="Y25" i="16"/>
  <c r="Y8" i="16"/>
  <c r="Z25" i="16"/>
  <c r="Z8" i="16"/>
  <c r="K22" i="5"/>
  <c r="W115" i="16"/>
  <c r="W9" i="16"/>
  <c r="X115" i="16"/>
  <c r="X9" i="16"/>
  <c r="Y115" i="16"/>
  <c r="Y9" i="16"/>
  <c r="Z115" i="16"/>
  <c r="Z9" i="16"/>
  <c r="K23" i="5"/>
  <c r="W99" i="16"/>
  <c r="W10" i="16"/>
  <c r="X99" i="16"/>
  <c r="X10" i="16"/>
  <c r="Y99" i="16"/>
  <c r="Y10" i="16"/>
  <c r="Z99" i="16"/>
  <c r="Z10" i="16"/>
  <c r="K25" i="5"/>
  <c r="W107" i="16"/>
  <c r="W11" i="16"/>
  <c r="X107" i="16"/>
  <c r="X11" i="16"/>
  <c r="Y107" i="16"/>
  <c r="Y11" i="16"/>
  <c r="Z107" i="16"/>
  <c r="Z11" i="16"/>
  <c r="K26" i="5"/>
  <c r="S39" i="16"/>
  <c r="S88" i="16"/>
  <c r="S131" i="16"/>
  <c r="S6" i="16"/>
  <c r="T39" i="16"/>
  <c r="T88" i="16"/>
  <c r="T131" i="16"/>
  <c r="T6" i="16"/>
  <c r="U39" i="16"/>
  <c r="U88" i="16"/>
  <c r="U131" i="16"/>
  <c r="U6" i="16"/>
  <c r="V39" i="16"/>
  <c r="V88" i="16"/>
  <c r="V131" i="16"/>
  <c r="V6" i="16"/>
  <c r="J19" i="5"/>
  <c r="S79" i="16"/>
  <c r="S80" i="16"/>
  <c r="S7" i="16"/>
  <c r="T79" i="16"/>
  <c r="T80" i="16"/>
  <c r="T7" i="16"/>
  <c r="U79" i="16"/>
  <c r="U80" i="16"/>
  <c r="U7" i="16"/>
  <c r="V79" i="16"/>
  <c r="V80" i="16"/>
  <c r="V7" i="16"/>
  <c r="J20" i="5"/>
  <c r="S8" i="16"/>
  <c r="T8" i="16"/>
  <c r="U8" i="16"/>
  <c r="V8" i="16"/>
  <c r="J22" i="5"/>
  <c r="S115" i="16"/>
  <c r="S9" i="16"/>
  <c r="T115" i="16"/>
  <c r="T9" i="16"/>
  <c r="U115" i="16"/>
  <c r="U9" i="16"/>
  <c r="V115" i="16"/>
  <c r="V9" i="16"/>
  <c r="J23" i="5"/>
  <c r="S99" i="16"/>
  <c r="S10" i="16"/>
  <c r="T99" i="16"/>
  <c r="T10" i="16"/>
  <c r="U99" i="16"/>
  <c r="U10" i="16"/>
  <c r="V99" i="16"/>
  <c r="V10" i="16"/>
  <c r="J25" i="5"/>
  <c r="S107" i="16"/>
  <c r="S11" i="16"/>
  <c r="T107" i="16"/>
  <c r="T11" i="16"/>
  <c r="U107" i="16"/>
  <c r="U11" i="16"/>
  <c r="V107" i="16"/>
  <c r="V11" i="16"/>
  <c r="J26" i="5"/>
  <c r="O39" i="16"/>
  <c r="O88" i="16"/>
  <c r="O131" i="16"/>
  <c r="O6" i="16"/>
  <c r="P39" i="16"/>
  <c r="P88" i="16"/>
  <c r="P131" i="16"/>
  <c r="P6" i="16"/>
  <c r="Q39" i="16"/>
  <c r="Q88" i="16"/>
  <c r="Q131" i="16"/>
  <c r="Q6" i="16"/>
  <c r="R39" i="16"/>
  <c r="R88" i="16"/>
  <c r="R131" i="16"/>
  <c r="R6" i="16"/>
  <c r="I19" i="5"/>
  <c r="O79" i="16"/>
  <c r="O80" i="16"/>
  <c r="O7" i="16"/>
  <c r="P79" i="16"/>
  <c r="P80" i="16"/>
  <c r="P7" i="16"/>
  <c r="Q79" i="16"/>
  <c r="Q80" i="16"/>
  <c r="Q7" i="16"/>
  <c r="R79" i="16"/>
  <c r="R80" i="16"/>
  <c r="R7" i="16"/>
  <c r="I20" i="5"/>
  <c r="O8" i="16"/>
  <c r="P8" i="16"/>
  <c r="Q8" i="16"/>
  <c r="R8" i="16"/>
  <c r="I22" i="5"/>
  <c r="O115" i="16"/>
  <c r="O9" i="16"/>
  <c r="P115" i="16"/>
  <c r="P9" i="16"/>
  <c r="Q115" i="16"/>
  <c r="Q9" i="16"/>
  <c r="R115" i="16"/>
  <c r="R9" i="16"/>
  <c r="I23" i="5"/>
  <c r="O99" i="16"/>
  <c r="O10" i="16"/>
  <c r="P99" i="16"/>
  <c r="P10" i="16"/>
  <c r="Q99" i="16"/>
  <c r="Q10" i="16"/>
  <c r="R99" i="16"/>
  <c r="R10" i="16"/>
  <c r="I25" i="5"/>
  <c r="O107" i="16"/>
  <c r="O11" i="16"/>
  <c r="P107" i="16"/>
  <c r="P11" i="16"/>
  <c r="Q107" i="16"/>
  <c r="Q11" i="16"/>
  <c r="R107" i="16"/>
  <c r="R11" i="16"/>
  <c r="I26" i="5"/>
  <c r="K39" i="16"/>
  <c r="K88" i="16"/>
  <c r="K131" i="16"/>
  <c r="K6" i="16"/>
  <c r="L39" i="16"/>
  <c r="L88" i="16"/>
  <c r="L131" i="16"/>
  <c r="L6" i="16"/>
  <c r="M39" i="16"/>
  <c r="M88" i="16"/>
  <c r="M131" i="16"/>
  <c r="M6" i="16"/>
  <c r="N39" i="16"/>
  <c r="N88" i="16"/>
  <c r="N131" i="16"/>
  <c r="N6" i="16"/>
  <c r="H19" i="5"/>
  <c r="K79" i="16"/>
  <c r="K80" i="16"/>
  <c r="K7" i="16"/>
  <c r="L79" i="16"/>
  <c r="L80" i="16"/>
  <c r="L7" i="16"/>
  <c r="M79" i="16"/>
  <c r="M80" i="16"/>
  <c r="M7" i="16"/>
  <c r="N79" i="16"/>
  <c r="N80" i="16"/>
  <c r="N7" i="16"/>
  <c r="H20" i="5"/>
  <c r="K8" i="16"/>
  <c r="L8" i="16"/>
  <c r="M8" i="16"/>
  <c r="N8" i="16"/>
  <c r="H22" i="5"/>
  <c r="K115" i="16"/>
  <c r="K9" i="16"/>
  <c r="L115" i="16"/>
  <c r="L9" i="16"/>
  <c r="M115" i="16"/>
  <c r="M9" i="16"/>
  <c r="N115" i="16"/>
  <c r="N9" i="16"/>
  <c r="H23" i="5"/>
  <c r="K99" i="16"/>
  <c r="K10" i="16"/>
  <c r="L99" i="16"/>
  <c r="L10" i="16"/>
  <c r="M99" i="16"/>
  <c r="M10" i="16"/>
  <c r="N99" i="16"/>
  <c r="N10" i="16"/>
  <c r="H25" i="5"/>
  <c r="K107" i="16"/>
  <c r="K11" i="16"/>
  <c r="L107" i="16"/>
  <c r="L11" i="16"/>
  <c r="M107" i="16"/>
  <c r="M11" i="16"/>
  <c r="N107" i="16"/>
  <c r="N11" i="16"/>
  <c r="H26" i="5"/>
  <c r="G19" i="5"/>
  <c r="G20" i="5"/>
  <c r="G22" i="5"/>
  <c r="G23" i="5"/>
  <c r="G25" i="5"/>
  <c r="G26" i="5"/>
  <c r="C55" i="16"/>
  <c r="C5" i="16"/>
  <c r="D55" i="16"/>
  <c r="D5" i="16"/>
  <c r="E55" i="16"/>
  <c r="E5" i="16"/>
  <c r="F55" i="16"/>
  <c r="F5" i="16"/>
  <c r="F18" i="5"/>
  <c r="C39" i="16"/>
  <c r="C88" i="16"/>
  <c r="C124" i="16"/>
  <c r="C6" i="16"/>
  <c r="D39" i="16"/>
  <c r="D88" i="16"/>
  <c r="D124" i="16"/>
  <c r="D6" i="16"/>
  <c r="E39" i="16"/>
  <c r="E88" i="16"/>
  <c r="E124" i="16"/>
  <c r="E6" i="16"/>
  <c r="F39" i="16"/>
  <c r="F88" i="16"/>
  <c r="F124" i="16"/>
  <c r="F6" i="16"/>
  <c r="F19" i="5"/>
  <c r="C79" i="16"/>
  <c r="C80" i="16"/>
  <c r="C7" i="16"/>
  <c r="D79" i="16"/>
  <c r="D80" i="16"/>
  <c r="D7" i="16"/>
  <c r="E79" i="16"/>
  <c r="E80" i="16"/>
  <c r="E7" i="16"/>
  <c r="F79" i="16"/>
  <c r="F80" i="16"/>
  <c r="F7" i="16"/>
  <c r="F20" i="5"/>
  <c r="C8" i="16"/>
  <c r="D8" i="16"/>
  <c r="E8" i="16"/>
  <c r="F8" i="16"/>
  <c r="F22" i="5"/>
  <c r="C115" i="16"/>
  <c r="C9" i="16"/>
  <c r="D115" i="16"/>
  <c r="D9" i="16"/>
  <c r="E115" i="16"/>
  <c r="E9" i="16"/>
  <c r="F115" i="16"/>
  <c r="F9" i="16"/>
  <c r="F23" i="5"/>
  <c r="C10" i="16"/>
  <c r="D10" i="16"/>
  <c r="E10" i="16"/>
  <c r="F99" i="16"/>
  <c r="F10" i="16"/>
  <c r="F25" i="5"/>
  <c r="C107" i="16"/>
  <c r="C11" i="16"/>
  <c r="D107" i="16"/>
  <c r="D11" i="16"/>
  <c r="E107" i="16"/>
  <c r="E11" i="16"/>
  <c r="F107" i="16"/>
  <c r="F11" i="16"/>
  <c r="F26" i="5"/>
  <c r="K60" i="16"/>
  <c r="L60" i="16"/>
  <c r="N61" i="16"/>
  <c r="O14" i="12"/>
  <c r="P14" i="12"/>
  <c r="Q14" i="12"/>
  <c r="R14" i="12"/>
  <c r="I10" i="5"/>
  <c r="S14" i="12"/>
  <c r="T14" i="12"/>
  <c r="U14" i="12"/>
  <c r="V14" i="12"/>
  <c r="J10" i="5"/>
  <c r="W14" i="12"/>
  <c r="X14" i="12"/>
  <c r="Y14" i="12"/>
  <c r="Z14" i="12"/>
  <c r="K10" i="5"/>
  <c r="F9" i="5"/>
  <c r="G13" i="5"/>
  <c r="H13" i="5"/>
  <c r="I13" i="5"/>
  <c r="J13" i="5"/>
  <c r="K13" i="5"/>
  <c r="G14" i="5"/>
  <c r="H14" i="5"/>
  <c r="I14" i="5"/>
  <c r="J14" i="5"/>
  <c r="K14" i="5"/>
  <c r="K61" i="5"/>
  <c r="J61" i="5"/>
  <c r="I61" i="5"/>
  <c r="H61" i="5"/>
  <c r="G61" i="5"/>
  <c r="H64" i="20"/>
  <c r="H62" i="20"/>
  <c r="H61" i="20"/>
  <c r="G64" i="20"/>
  <c r="G62" i="20"/>
  <c r="G61" i="20"/>
  <c r="F64" i="20"/>
  <c r="F62" i="20"/>
  <c r="F61" i="20"/>
  <c r="E64" i="20"/>
  <c r="E62" i="20"/>
  <c r="E61" i="20"/>
  <c r="D64" i="20"/>
  <c r="D62" i="20"/>
  <c r="D61" i="20"/>
  <c r="B41" i="27"/>
  <c r="B66" i="27"/>
  <c r="B8" i="23"/>
  <c r="B6" i="23"/>
  <c r="B5" i="23"/>
  <c r="B4" i="23"/>
  <c r="H27" i="20"/>
  <c r="G27" i="20"/>
  <c r="F27" i="20"/>
  <c r="E27" i="20"/>
  <c r="D27" i="20"/>
  <c r="H9" i="20"/>
  <c r="G9" i="20"/>
  <c r="F9" i="20"/>
  <c r="E9" i="20"/>
  <c r="D9" i="20"/>
  <c r="H7" i="20"/>
  <c r="G7" i="20"/>
  <c r="F7" i="20"/>
  <c r="E7" i="20"/>
  <c r="D7" i="20"/>
  <c r="H3" i="20"/>
  <c r="G3" i="20"/>
  <c r="F3" i="20"/>
  <c r="E3" i="20"/>
  <c r="D3" i="20"/>
  <c r="B70" i="27"/>
  <c r="B13" i="22"/>
  <c r="B12" i="22"/>
  <c r="B11" i="22"/>
  <c r="B9" i="22"/>
  <c r="B7" i="22"/>
  <c r="B6" i="22"/>
  <c r="B35" i="27"/>
  <c r="B34" i="27"/>
  <c r="N56" i="16"/>
  <c r="J56" i="16"/>
  <c r="N57" i="16"/>
  <c r="M60" i="16"/>
  <c r="N60" i="16"/>
  <c r="O60" i="16"/>
  <c r="P60" i="16"/>
  <c r="Q60" i="16"/>
  <c r="R60" i="16"/>
  <c r="R56" i="16"/>
  <c r="R57" i="16"/>
  <c r="S60" i="16"/>
  <c r="T60" i="16"/>
  <c r="U60" i="16"/>
  <c r="V60" i="16"/>
  <c r="V56" i="16"/>
  <c r="V57" i="16"/>
  <c r="W60" i="16"/>
  <c r="Z61" i="16"/>
  <c r="H19" i="20"/>
  <c r="H20" i="20"/>
  <c r="H21" i="20"/>
  <c r="H22" i="20"/>
  <c r="H23" i="20"/>
  <c r="V61" i="16"/>
  <c r="G19" i="20"/>
  <c r="G20" i="20"/>
  <c r="G21" i="20"/>
  <c r="G22" i="20"/>
  <c r="G23" i="20"/>
  <c r="R61" i="16"/>
  <c r="F19" i="20"/>
  <c r="F20" i="20"/>
  <c r="F21" i="20"/>
  <c r="F22" i="20"/>
  <c r="F23" i="20"/>
  <c r="E19" i="20"/>
  <c r="E20" i="20"/>
  <c r="E21" i="20"/>
  <c r="E22" i="20"/>
  <c r="E23" i="20"/>
  <c r="J61" i="16"/>
  <c r="D19" i="20"/>
  <c r="D20" i="20"/>
  <c r="D21" i="20"/>
  <c r="D22" i="20"/>
  <c r="D23" i="20"/>
  <c r="C18" i="20"/>
  <c r="C19" i="20"/>
  <c r="C20" i="20"/>
  <c r="C21" i="20"/>
  <c r="C22" i="20"/>
  <c r="C23" i="20"/>
  <c r="B57" i="22"/>
  <c r="B58" i="22"/>
  <c r="B59" i="22"/>
  <c r="B43" i="25"/>
  <c r="B37" i="25"/>
  <c r="B24" i="25"/>
  <c r="B19" i="25"/>
  <c r="C26" i="24"/>
  <c r="C25" i="24"/>
  <c r="C24" i="24"/>
  <c r="C23" i="24"/>
  <c r="C22" i="24"/>
  <c r="C21" i="24"/>
  <c r="C20" i="24"/>
  <c r="C16" i="24"/>
  <c r="C15" i="24"/>
  <c r="C14" i="24"/>
  <c r="C13" i="24"/>
  <c r="C12" i="24"/>
  <c r="C11" i="24"/>
  <c r="C10" i="24"/>
  <c r="B34" i="23"/>
  <c r="B7" i="23"/>
  <c r="B10" i="22"/>
  <c r="H76" i="20"/>
  <c r="G76" i="20"/>
  <c r="F76" i="20"/>
  <c r="E76" i="20"/>
  <c r="D76" i="20"/>
  <c r="E94" i="20"/>
  <c r="K28" i="5"/>
  <c r="K33" i="5"/>
  <c r="K40" i="5"/>
  <c r="J28" i="5"/>
  <c r="J33" i="5"/>
  <c r="J40" i="5"/>
  <c r="I28" i="5"/>
  <c r="I33" i="5"/>
  <c r="I40" i="5"/>
  <c r="H28" i="5"/>
  <c r="H33" i="5"/>
  <c r="H40" i="5"/>
  <c r="G28" i="5"/>
  <c r="G33" i="5"/>
  <c r="G40" i="5"/>
  <c r="F28" i="5"/>
  <c r="F33" i="5"/>
  <c r="F40" i="5"/>
  <c r="F53" i="5"/>
  <c r="F52" i="5"/>
  <c r="D32" i="20"/>
  <c r="G143" i="1"/>
  <c r="G142" i="1"/>
  <c r="J26" i="16"/>
  <c r="J125" i="16"/>
  <c r="G148" i="1"/>
  <c r="G138" i="1"/>
  <c r="G127" i="1"/>
  <c r="G122" i="1"/>
  <c r="G121" i="1"/>
  <c r="G118" i="1"/>
  <c r="G109" i="1"/>
  <c r="J116" i="16"/>
  <c r="G147" i="1"/>
  <c r="F116" i="16"/>
  <c r="F147" i="1"/>
  <c r="F125" i="16"/>
  <c r="F148" i="1"/>
  <c r="G18" i="6"/>
  <c r="G36" i="6"/>
  <c r="F12" i="6"/>
  <c r="F18" i="6"/>
  <c r="F10" i="6"/>
  <c r="F59" i="6"/>
  <c r="F51" i="6"/>
  <c r="F35" i="6"/>
  <c r="F36" i="6"/>
  <c r="F34" i="6"/>
  <c r="F44" i="6"/>
  <c r="G41" i="4"/>
  <c r="G51" i="1"/>
  <c r="G52" i="1"/>
  <c r="G53" i="1"/>
  <c r="G54" i="1"/>
  <c r="G55" i="1"/>
  <c r="G50" i="1"/>
  <c r="G69" i="1"/>
  <c r="G68" i="1"/>
  <c r="G67" i="1"/>
  <c r="G56" i="1"/>
  <c r="H64" i="8"/>
  <c r="H9" i="8"/>
  <c r="G11" i="1"/>
  <c r="H59" i="8"/>
  <c r="H8" i="8"/>
  <c r="G9" i="1"/>
  <c r="G8" i="1"/>
  <c r="H69" i="8"/>
  <c r="H11" i="8"/>
  <c r="G15" i="1"/>
  <c r="H74" i="8"/>
  <c r="H12" i="8"/>
  <c r="G16" i="1"/>
  <c r="H79" i="8"/>
  <c r="H13" i="8"/>
  <c r="G17" i="1"/>
  <c r="H84" i="8"/>
  <c r="H14" i="8"/>
  <c r="G18" i="1"/>
  <c r="H89" i="8"/>
  <c r="H15" i="8"/>
  <c r="G19" i="1"/>
  <c r="G14" i="1"/>
  <c r="G13" i="1"/>
  <c r="G7" i="1"/>
  <c r="H143" i="1"/>
  <c r="H142" i="1"/>
  <c r="N26" i="16"/>
  <c r="N125" i="16"/>
  <c r="H148" i="1"/>
  <c r="H138" i="1"/>
  <c r="H127" i="1"/>
  <c r="H122" i="1"/>
  <c r="H121" i="1"/>
  <c r="H118" i="1"/>
  <c r="H109" i="1"/>
  <c r="N116" i="16"/>
  <c r="H147" i="1"/>
  <c r="H18" i="6"/>
  <c r="H41" i="4"/>
  <c r="H51" i="1"/>
  <c r="H52" i="1"/>
  <c r="H53" i="1"/>
  <c r="H54" i="1"/>
  <c r="H55" i="1"/>
  <c r="H50" i="1"/>
  <c r="H69" i="1"/>
  <c r="H68" i="1"/>
  <c r="H67" i="1"/>
  <c r="H56" i="1"/>
  <c r="I64" i="8"/>
  <c r="I9" i="8"/>
  <c r="H11" i="1"/>
  <c r="I59" i="8"/>
  <c r="I8" i="8"/>
  <c r="H9" i="1"/>
  <c r="H8" i="1"/>
  <c r="I69" i="8"/>
  <c r="I11" i="8"/>
  <c r="H15" i="1"/>
  <c r="I74" i="8"/>
  <c r="I12" i="8"/>
  <c r="H16" i="1"/>
  <c r="I79" i="8"/>
  <c r="I13" i="8"/>
  <c r="H17" i="1"/>
  <c r="I84" i="8"/>
  <c r="I14" i="8"/>
  <c r="H18" i="1"/>
  <c r="I89" i="8"/>
  <c r="I15" i="8"/>
  <c r="H19" i="1"/>
  <c r="H14" i="1"/>
  <c r="H13" i="1"/>
  <c r="H7" i="1"/>
  <c r="I143" i="1"/>
  <c r="I142" i="1"/>
  <c r="R125" i="16"/>
  <c r="R26" i="16"/>
  <c r="I148" i="1"/>
  <c r="I138" i="1"/>
  <c r="I127" i="1"/>
  <c r="I122" i="1"/>
  <c r="I121" i="1"/>
  <c r="I118" i="1"/>
  <c r="I109" i="1"/>
  <c r="R116" i="16"/>
  <c r="I147" i="1"/>
  <c r="I18" i="6"/>
  <c r="I41" i="4"/>
  <c r="I51" i="1"/>
  <c r="I52" i="1"/>
  <c r="I53" i="1"/>
  <c r="I54" i="1"/>
  <c r="I55" i="1"/>
  <c r="I50" i="1"/>
  <c r="I69" i="1"/>
  <c r="I68" i="1"/>
  <c r="I67" i="1"/>
  <c r="I56" i="1"/>
  <c r="J64" i="8"/>
  <c r="J9" i="8"/>
  <c r="I11" i="1"/>
  <c r="J59" i="8"/>
  <c r="J8" i="8"/>
  <c r="I9" i="1"/>
  <c r="I8" i="1"/>
  <c r="J69" i="8"/>
  <c r="J11" i="8"/>
  <c r="I15" i="1"/>
  <c r="J74" i="8"/>
  <c r="J12" i="8"/>
  <c r="I16" i="1"/>
  <c r="J79" i="8"/>
  <c r="J13" i="8"/>
  <c r="I17" i="1"/>
  <c r="J84" i="8"/>
  <c r="J14" i="8"/>
  <c r="I18" i="1"/>
  <c r="J89" i="8"/>
  <c r="J15" i="8"/>
  <c r="I19" i="1"/>
  <c r="I14" i="1"/>
  <c r="I13" i="1"/>
  <c r="I7" i="1"/>
  <c r="J143" i="1"/>
  <c r="J142" i="1"/>
  <c r="V26" i="16"/>
  <c r="V125" i="16"/>
  <c r="J148" i="1"/>
  <c r="J138" i="1"/>
  <c r="J127" i="1"/>
  <c r="J122" i="1"/>
  <c r="J121" i="1"/>
  <c r="J118" i="1"/>
  <c r="J109" i="1"/>
  <c r="V116" i="16"/>
  <c r="J147" i="1"/>
  <c r="J18" i="6"/>
  <c r="J41" i="4"/>
  <c r="J51" i="1"/>
  <c r="J52" i="1"/>
  <c r="J53" i="1"/>
  <c r="J54" i="1"/>
  <c r="J55" i="1"/>
  <c r="J50" i="1"/>
  <c r="J69" i="1"/>
  <c r="J68" i="1"/>
  <c r="J67" i="1"/>
  <c r="J56" i="1"/>
  <c r="K64" i="8"/>
  <c r="K9" i="8"/>
  <c r="J11" i="1"/>
  <c r="K59" i="8"/>
  <c r="K8" i="8"/>
  <c r="J9" i="1"/>
  <c r="J8" i="1"/>
  <c r="K69" i="8"/>
  <c r="K11" i="8"/>
  <c r="J15" i="1"/>
  <c r="K74" i="8"/>
  <c r="K12" i="8"/>
  <c r="J16" i="1"/>
  <c r="K79" i="8"/>
  <c r="K13" i="8"/>
  <c r="J17" i="1"/>
  <c r="K84" i="8"/>
  <c r="K14" i="8"/>
  <c r="J18" i="1"/>
  <c r="K89" i="8"/>
  <c r="K15" i="8"/>
  <c r="J19" i="1"/>
  <c r="J14" i="1"/>
  <c r="J13" i="1"/>
  <c r="J7" i="1"/>
  <c r="K143" i="1"/>
  <c r="K142" i="1"/>
  <c r="Z26" i="16"/>
  <c r="Z125" i="16"/>
  <c r="K148" i="1"/>
  <c r="K138" i="1"/>
  <c r="K127" i="1"/>
  <c r="K121" i="1"/>
  <c r="K118" i="1"/>
  <c r="K109" i="1"/>
  <c r="Z116" i="16"/>
  <c r="K147" i="1"/>
  <c r="K18" i="6"/>
  <c r="K41" i="4"/>
  <c r="K51" i="1"/>
  <c r="K52" i="1"/>
  <c r="K53" i="1"/>
  <c r="K54" i="1"/>
  <c r="K55" i="1"/>
  <c r="K50" i="1"/>
  <c r="K69" i="1"/>
  <c r="K68" i="1"/>
  <c r="K67" i="1"/>
  <c r="K56" i="1"/>
  <c r="L68" i="8"/>
  <c r="L64" i="8"/>
  <c r="L9" i="8"/>
  <c r="K11" i="1"/>
  <c r="L61" i="8"/>
  <c r="L63" i="8"/>
  <c r="L59" i="8"/>
  <c r="L8" i="8"/>
  <c r="K9" i="1"/>
  <c r="K8" i="1"/>
  <c r="L71" i="8"/>
  <c r="L69" i="8"/>
  <c r="L11" i="8"/>
  <c r="K15" i="1"/>
  <c r="L76" i="8"/>
  <c r="L74" i="8"/>
  <c r="L12" i="8"/>
  <c r="K16" i="1"/>
  <c r="L79" i="8"/>
  <c r="L13" i="8"/>
  <c r="K17" i="1"/>
  <c r="L86" i="8"/>
  <c r="L84" i="8"/>
  <c r="L14" i="8"/>
  <c r="K18" i="1"/>
  <c r="L91" i="8"/>
  <c r="L89" i="8"/>
  <c r="L15" i="8"/>
  <c r="K19" i="1"/>
  <c r="K14" i="1"/>
  <c r="K13" i="1"/>
  <c r="K7" i="1"/>
  <c r="F122" i="1"/>
  <c r="F121" i="1"/>
  <c r="F118" i="1"/>
  <c r="F143" i="1"/>
  <c r="F142" i="1"/>
  <c r="F138" i="1"/>
  <c r="F127" i="1"/>
  <c r="F109" i="1"/>
  <c r="F69" i="1"/>
  <c r="F68" i="1"/>
  <c r="F67" i="1"/>
  <c r="F56" i="1"/>
  <c r="G59" i="8"/>
  <c r="G8" i="8"/>
  <c r="F9" i="1"/>
  <c r="G64" i="8"/>
  <c r="G9" i="8"/>
  <c r="F11" i="1"/>
  <c r="F8" i="1"/>
  <c r="G69" i="8"/>
  <c r="G11" i="8"/>
  <c r="F15" i="1"/>
  <c r="G74" i="8"/>
  <c r="G12" i="8"/>
  <c r="F16" i="1"/>
  <c r="G79" i="8"/>
  <c r="G13" i="8"/>
  <c r="F17" i="1"/>
  <c r="G84" i="8"/>
  <c r="G14" i="8"/>
  <c r="F18" i="1"/>
  <c r="G89" i="8"/>
  <c r="G15" i="8"/>
  <c r="F19" i="1"/>
  <c r="F14" i="1"/>
  <c r="F13" i="1"/>
  <c r="F7" i="1"/>
  <c r="C15" i="18"/>
  <c r="C14" i="18"/>
  <c r="C18" i="18"/>
  <c r="C16" i="18"/>
  <c r="C17" i="18"/>
  <c r="D16" i="18"/>
  <c r="E16" i="18"/>
  <c r="D18" i="18"/>
  <c r="D14" i="18"/>
  <c r="E14" i="18"/>
  <c r="D15" i="18"/>
  <c r="E15" i="18"/>
  <c r="D17" i="18"/>
  <c r="D33" i="20"/>
  <c r="F16" i="6"/>
  <c r="C49" i="20"/>
  <c r="D41" i="20"/>
  <c r="D42" i="20"/>
  <c r="D43" i="20"/>
  <c r="D45" i="20"/>
  <c r="C33" i="20"/>
  <c r="H32" i="20"/>
  <c r="G32" i="20"/>
  <c r="F32" i="20"/>
  <c r="E32" i="20"/>
  <c r="C32" i="20"/>
  <c r="C3" i="16"/>
  <c r="D3" i="16"/>
  <c r="E3" i="16"/>
  <c r="F3" i="16"/>
  <c r="C12" i="16"/>
  <c r="F100" i="16"/>
  <c r="X60" i="16"/>
  <c r="Y60" i="16"/>
  <c r="Z60" i="16"/>
  <c r="C97" i="20"/>
  <c r="D13" i="18"/>
  <c r="G33" i="20"/>
  <c r="G34" i="20"/>
  <c r="H33" i="20"/>
  <c r="H34" i="20"/>
  <c r="F33" i="20"/>
  <c r="F34" i="20"/>
  <c r="E33" i="20"/>
  <c r="E34" i="20"/>
  <c r="D34" i="20"/>
  <c r="C34" i="20"/>
  <c r="Z3" i="16"/>
  <c r="Y3" i="16"/>
  <c r="X3" i="16"/>
  <c r="W3" i="16"/>
  <c r="C42" i="20"/>
  <c r="E35" i="20"/>
  <c r="F35" i="20"/>
  <c r="G35" i="20"/>
  <c r="H35" i="20"/>
  <c r="D35" i="20"/>
  <c r="D25" i="20"/>
  <c r="H25" i="20"/>
  <c r="G25" i="20"/>
  <c r="F25" i="20"/>
  <c r="E25" i="20"/>
  <c r="C61" i="20"/>
  <c r="H43" i="20"/>
  <c r="G43" i="20"/>
  <c r="F43" i="20"/>
  <c r="E43" i="20"/>
  <c r="H41" i="20"/>
  <c r="G41" i="20"/>
  <c r="F41" i="20"/>
  <c r="E41" i="20"/>
  <c r="C45" i="20"/>
  <c r="K20" i="1"/>
  <c r="K22" i="1"/>
  <c r="K30" i="1"/>
  <c r="H38" i="1"/>
  <c r="I38" i="1"/>
  <c r="J38" i="1"/>
  <c r="K38" i="1"/>
  <c r="K35" i="1"/>
  <c r="K40" i="1"/>
  <c r="K29" i="1"/>
  <c r="K26" i="1"/>
  <c r="K47" i="1"/>
  <c r="K48" i="1"/>
  <c r="K46" i="1"/>
  <c r="G59" i="1"/>
  <c r="H59" i="1"/>
  <c r="I59" i="1"/>
  <c r="J59" i="1"/>
  <c r="K59" i="1"/>
  <c r="K58" i="1"/>
  <c r="K57" i="1"/>
  <c r="K63" i="1"/>
  <c r="K62" i="1"/>
  <c r="K73" i="1"/>
  <c r="K76" i="1"/>
  <c r="G84" i="1"/>
  <c r="H84" i="1"/>
  <c r="I84" i="1"/>
  <c r="J84" i="1"/>
  <c r="K84" i="1"/>
  <c r="K81" i="1"/>
  <c r="K91" i="1"/>
  <c r="K92" i="1"/>
  <c r="K93" i="1"/>
  <c r="K108" i="1"/>
  <c r="K112" i="1"/>
  <c r="K117" i="1"/>
  <c r="K115" i="1"/>
  <c r="K110" i="1"/>
  <c r="G130" i="1"/>
  <c r="H130" i="1"/>
  <c r="I130" i="1"/>
  <c r="J130" i="1"/>
  <c r="K130" i="1"/>
  <c r="K129" i="1"/>
  <c r="K128" i="1"/>
  <c r="K134" i="1"/>
  <c r="K133" i="1"/>
  <c r="K139" i="1"/>
  <c r="K141" i="1"/>
  <c r="K155" i="1"/>
  <c r="K6" i="1"/>
  <c r="K96" i="1"/>
  <c r="K27" i="6"/>
  <c r="K25" i="6"/>
  <c r="K22" i="6"/>
  <c r="K36" i="6"/>
  <c r="K40" i="6"/>
  <c r="K38" i="6"/>
  <c r="K46" i="6"/>
  <c r="K6" i="6"/>
  <c r="I8" i="5"/>
  <c r="J8" i="5"/>
  <c r="K8" i="5"/>
  <c r="G6" i="5"/>
  <c r="H6" i="5"/>
  <c r="I6" i="5"/>
  <c r="J6" i="5"/>
  <c r="K6" i="5"/>
  <c r="K6" i="4"/>
  <c r="K27" i="4"/>
  <c r="K35" i="4"/>
  <c r="K32" i="4"/>
  <c r="W24" i="10"/>
  <c r="X24" i="10"/>
  <c r="Y24" i="10"/>
  <c r="V24" i="10"/>
  <c r="I19" i="10"/>
  <c r="H19" i="10"/>
  <c r="G19" i="10"/>
  <c r="F19" i="10"/>
  <c r="Y25" i="10"/>
  <c r="X25" i="10"/>
  <c r="W25" i="10"/>
  <c r="V25" i="10"/>
  <c r="Y18" i="10"/>
  <c r="Y19" i="10"/>
  <c r="X18" i="10"/>
  <c r="X19" i="10"/>
  <c r="W18" i="10"/>
  <c r="W19" i="10"/>
  <c r="V18" i="10"/>
  <c r="V19" i="10"/>
  <c r="Y13" i="10"/>
  <c r="X13" i="10"/>
  <c r="W13" i="10"/>
  <c r="V13" i="10"/>
  <c r="Z132" i="16"/>
  <c r="N27" i="16"/>
  <c r="R27" i="16"/>
  <c r="V27" i="16"/>
  <c r="Z27" i="16"/>
  <c r="W12" i="16"/>
  <c r="S3" i="16"/>
  <c r="T3" i="16"/>
  <c r="U3" i="16"/>
  <c r="V3" i="16"/>
  <c r="S12" i="16"/>
  <c r="Z13" i="16"/>
  <c r="Z108" i="16"/>
  <c r="Z100" i="16"/>
  <c r="Z89" i="16"/>
  <c r="Z81" i="16"/>
  <c r="Z71" i="16"/>
  <c r="V71" i="16"/>
  <c r="Z72" i="16"/>
  <c r="Z56" i="16"/>
  <c r="Z57" i="16"/>
  <c r="Z40" i="16"/>
  <c r="H58" i="8"/>
  <c r="I58" i="8"/>
  <c r="J58" i="8"/>
  <c r="K58" i="8"/>
  <c r="L58" i="8"/>
  <c r="H41" i="8"/>
  <c r="I41" i="8"/>
  <c r="J41" i="8"/>
  <c r="K41" i="8"/>
  <c r="L41" i="8"/>
  <c r="H28" i="8"/>
  <c r="I28" i="8"/>
  <c r="J28" i="8"/>
  <c r="K28" i="8"/>
  <c r="L28" i="8"/>
  <c r="L10" i="8"/>
  <c r="L7" i="8"/>
  <c r="H6" i="8"/>
  <c r="I6" i="8"/>
  <c r="J6" i="8"/>
  <c r="K6" i="8"/>
  <c r="L6" i="8"/>
  <c r="W36" i="12"/>
  <c r="X36" i="12"/>
  <c r="Y36" i="12"/>
  <c r="Z36" i="12"/>
  <c r="Z37" i="12"/>
  <c r="W28" i="12"/>
  <c r="X28" i="12"/>
  <c r="Y28" i="12"/>
  <c r="Z28" i="12"/>
  <c r="Z29" i="12"/>
  <c r="W16" i="12"/>
  <c r="X16" i="12"/>
  <c r="Y16" i="12"/>
  <c r="Z16" i="12"/>
  <c r="W5" i="12"/>
  <c r="W7" i="12"/>
  <c r="W6" i="12"/>
  <c r="X5" i="12"/>
  <c r="X7" i="12"/>
  <c r="X6" i="12"/>
  <c r="Y5" i="12"/>
  <c r="Y7" i="12"/>
  <c r="Y6" i="12"/>
  <c r="Z5" i="12"/>
  <c r="Z7" i="12"/>
  <c r="Z6" i="12"/>
  <c r="C8" i="12"/>
  <c r="D8" i="12"/>
  <c r="E8" i="12"/>
  <c r="F8" i="12"/>
  <c r="F9" i="12"/>
  <c r="F55" i="6"/>
  <c r="F38" i="5"/>
  <c r="F66" i="5"/>
  <c r="F67" i="5"/>
  <c r="G55" i="8"/>
  <c r="D12" i="18"/>
  <c r="C16" i="12"/>
  <c r="F56" i="16"/>
  <c r="C19" i="18"/>
  <c r="E18" i="18"/>
  <c r="E17" i="18"/>
  <c r="B19" i="18"/>
  <c r="E13" i="18"/>
  <c r="D19" i="18"/>
  <c r="C18" i="12"/>
  <c r="E12" i="18"/>
  <c r="E19" i="18"/>
  <c r="F3" i="19"/>
  <c r="E5" i="19"/>
  <c r="E6" i="19"/>
  <c r="E7" i="19"/>
  <c r="E4" i="19"/>
  <c r="F4" i="19"/>
  <c r="E3" i="19"/>
  <c r="C17" i="19"/>
  <c r="F5" i="19"/>
  <c r="F6" i="19"/>
  <c r="F7" i="19"/>
  <c r="F129" i="1"/>
  <c r="O24" i="10"/>
  <c r="O25" i="10"/>
  <c r="P24" i="10"/>
  <c r="P25" i="10"/>
  <c r="Q24" i="10"/>
  <c r="Q25" i="10"/>
  <c r="G24" i="10"/>
  <c r="G25" i="10"/>
  <c r="J6" i="6"/>
  <c r="I6" i="6"/>
  <c r="H6" i="6"/>
  <c r="G6" i="6"/>
  <c r="L18" i="10"/>
  <c r="M18" i="10"/>
  <c r="N18" i="10"/>
  <c r="O18" i="10"/>
  <c r="P18" i="10"/>
  <c r="Q18" i="10"/>
  <c r="R18" i="10"/>
  <c r="S18" i="10"/>
  <c r="T18" i="10"/>
  <c r="U18" i="10"/>
  <c r="K18" i="10"/>
  <c r="J18" i="10"/>
  <c r="I18" i="10"/>
  <c r="H18" i="10"/>
  <c r="G18" i="10"/>
  <c r="F18" i="10"/>
  <c r="V16" i="12"/>
  <c r="U16" i="12"/>
  <c r="T16" i="12"/>
  <c r="S16" i="12"/>
  <c r="R16" i="12"/>
  <c r="Q16" i="12"/>
  <c r="P16" i="12"/>
  <c r="O16" i="12"/>
  <c r="N16" i="12"/>
  <c r="M16" i="12"/>
  <c r="L16" i="12"/>
  <c r="K16" i="12"/>
  <c r="J16" i="12"/>
  <c r="I16" i="12"/>
  <c r="H16" i="12"/>
  <c r="G16" i="12"/>
  <c r="F16" i="12"/>
  <c r="F18" i="12"/>
  <c r="E16" i="12"/>
  <c r="E18" i="12"/>
  <c r="D16" i="12"/>
  <c r="D18" i="12"/>
  <c r="O5" i="12"/>
  <c r="T6" i="12"/>
  <c r="U6" i="12"/>
  <c r="H7" i="12"/>
  <c r="D36" i="12"/>
  <c r="D6" i="12"/>
  <c r="E36" i="12"/>
  <c r="E6" i="12"/>
  <c r="F36" i="12"/>
  <c r="F6" i="12"/>
  <c r="G36" i="12"/>
  <c r="G6" i="12"/>
  <c r="H36" i="12"/>
  <c r="H6" i="12"/>
  <c r="I36" i="12"/>
  <c r="I6" i="12"/>
  <c r="J36" i="12"/>
  <c r="J6" i="12"/>
  <c r="K36" i="12"/>
  <c r="K6" i="12"/>
  <c r="L36" i="12"/>
  <c r="L6" i="12"/>
  <c r="M36" i="12"/>
  <c r="M6" i="12"/>
  <c r="N36" i="12"/>
  <c r="N6" i="12"/>
  <c r="O36" i="12"/>
  <c r="O6" i="12"/>
  <c r="P36" i="12"/>
  <c r="P6" i="12"/>
  <c r="Q36" i="12"/>
  <c r="Q6" i="12"/>
  <c r="R36" i="12"/>
  <c r="R6" i="12"/>
  <c r="S36" i="12"/>
  <c r="S6" i="12"/>
  <c r="T36" i="12"/>
  <c r="U36" i="12"/>
  <c r="V36" i="12"/>
  <c r="V6" i="12"/>
  <c r="C36" i="12"/>
  <c r="C6" i="12"/>
  <c r="F112" i="1"/>
  <c r="F110" i="1"/>
  <c r="F115" i="1"/>
  <c r="E7" i="10"/>
  <c r="F128" i="1"/>
  <c r="F134" i="1"/>
  <c r="F133" i="1"/>
  <c r="G108" i="1"/>
  <c r="H108" i="1"/>
  <c r="G112" i="1"/>
  <c r="G110" i="1"/>
  <c r="G117" i="1"/>
  <c r="G115" i="1"/>
  <c r="G129" i="1"/>
  <c r="G128" i="1"/>
  <c r="G134" i="1"/>
  <c r="G133" i="1"/>
  <c r="G139" i="1"/>
  <c r="G140" i="1"/>
  <c r="H140" i="1"/>
  <c r="G141" i="1"/>
  <c r="H141" i="1"/>
  <c r="I141" i="1"/>
  <c r="J141" i="1"/>
  <c r="G28" i="12"/>
  <c r="G5" i="12"/>
  <c r="H28" i="12"/>
  <c r="H5" i="12"/>
  <c r="J28" i="12"/>
  <c r="J7" i="12"/>
  <c r="H112" i="1"/>
  <c r="H117" i="1"/>
  <c r="H134" i="1"/>
  <c r="H133" i="1"/>
  <c r="H139" i="1"/>
  <c r="L19" i="10"/>
  <c r="M19" i="10"/>
  <c r="K28" i="12"/>
  <c r="K5" i="12"/>
  <c r="M28" i="12"/>
  <c r="M5" i="12"/>
  <c r="I112" i="1"/>
  <c r="I134" i="1"/>
  <c r="I133" i="1"/>
  <c r="I139" i="1"/>
  <c r="O28" i="12"/>
  <c r="O7" i="12"/>
  <c r="R28" i="12"/>
  <c r="R5" i="12"/>
  <c r="I108" i="1"/>
  <c r="J108" i="1"/>
  <c r="J112" i="1"/>
  <c r="J134" i="1"/>
  <c r="J133" i="1"/>
  <c r="R19" i="10"/>
  <c r="T19" i="10"/>
  <c r="T28" i="12"/>
  <c r="T5" i="12"/>
  <c r="F32" i="4"/>
  <c r="G40" i="6"/>
  <c r="G38" i="6"/>
  <c r="H36" i="6"/>
  <c r="H40" i="6"/>
  <c r="H38" i="6"/>
  <c r="I36" i="6"/>
  <c r="I40" i="6"/>
  <c r="I38" i="6"/>
  <c r="J36" i="6"/>
  <c r="J40" i="6"/>
  <c r="J38" i="6"/>
  <c r="G6" i="4"/>
  <c r="H6" i="4"/>
  <c r="G46" i="6"/>
  <c r="H46" i="6"/>
  <c r="I46" i="6"/>
  <c r="J46" i="6"/>
  <c r="H48" i="1"/>
  <c r="I48" i="1"/>
  <c r="J48" i="1"/>
  <c r="F30" i="1"/>
  <c r="F35" i="1"/>
  <c r="F40" i="1"/>
  <c r="F29" i="1"/>
  <c r="F26" i="1"/>
  <c r="B7" i="10"/>
  <c r="F40" i="6"/>
  <c r="F38" i="6"/>
  <c r="F27" i="6"/>
  <c r="F25" i="6"/>
  <c r="F22" i="6"/>
  <c r="I27" i="6"/>
  <c r="I25" i="6"/>
  <c r="I22" i="6"/>
  <c r="J27" i="6"/>
  <c r="J25" i="6"/>
  <c r="J22" i="6"/>
  <c r="G91" i="1"/>
  <c r="H91" i="1"/>
  <c r="I91" i="1"/>
  <c r="J91" i="1"/>
  <c r="G20" i="1"/>
  <c r="H20" i="1"/>
  <c r="I20" i="1"/>
  <c r="J20" i="1"/>
  <c r="F22" i="1"/>
  <c r="G81" i="1"/>
  <c r="G73" i="1"/>
  <c r="H73" i="1"/>
  <c r="I73" i="1"/>
  <c r="J73" i="1"/>
  <c r="G93" i="1"/>
  <c r="H93" i="1"/>
  <c r="I93" i="1"/>
  <c r="J93" i="1"/>
  <c r="G92" i="1"/>
  <c r="H92" i="1"/>
  <c r="I92" i="1"/>
  <c r="J92" i="1"/>
  <c r="H58" i="1"/>
  <c r="H57" i="1"/>
  <c r="G27" i="4"/>
  <c r="G35" i="4"/>
  <c r="F27" i="4"/>
  <c r="F35" i="4"/>
  <c r="G40" i="1"/>
  <c r="F92" i="8"/>
  <c r="F91" i="8"/>
  <c r="F87" i="8"/>
  <c r="F86" i="8"/>
  <c r="F82" i="8"/>
  <c r="F81" i="8"/>
  <c r="F77" i="8"/>
  <c r="F76" i="8"/>
  <c r="F72" i="8"/>
  <c r="F71" i="8"/>
  <c r="F67" i="8"/>
  <c r="F66" i="8"/>
  <c r="F62" i="8"/>
  <c r="F61" i="8"/>
  <c r="F83" i="8"/>
  <c r="F78" i="8"/>
  <c r="F74" i="8"/>
  <c r="F73" i="8"/>
  <c r="F69" i="8"/>
  <c r="F68" i="8"/>
  <c r="F93" i="8"/>
  <c r="F88" i="8"/>
  <c r="F63" i="8"/>
  <c r="F28" i="8"/>
  <c r="F58" i="8"/>
  <c r="F10" i="8"/>
  <c r="F7" i="8"/>
  <c r="H40" i="1"/>
  <c r="F89" i="8"/>
  <c r="F84" i="8"/>
  <c r="F79" i="8"/>
  <c r="F64" i="8"/>
  <c r="F59" i="8"/>
  <c r="J40" i="1"/>
  <c r="I40" i="1"/>
  <c r="G6" i="1"/>
  <c r="H6" i="1"/>
  <c r="F96" i="1"/>
  <c r="F81" i="1"/>
  <c r="J76" i="1"/>
  <c r="I76" i="1"/>
  <c r="H76" i="1"/>
  <c r="G76" i="1"/>
  <c r="F76" i="1"/>
  <c r="J63" i="1"/>
  <c r="J62" i="1"/>
  <c r="I63" i="1"/>
  <c r="H63" i="1"/>
  <c r="G63" i="1"/>
  <c r="G62" i="1"/>
  <c r="F63" i="1"/>
  <c r="F62" i="1"/>
  <c r="I62" i="1"/>
  <c r="H62" i="1"/>
  <c r="F58" i="1"/>
  <c r="F57" i="1"/>
  <c r="J22" i="1"/>
  <c r="I22" i="1"/>
  <c r="H22" i="1"/>
  <c r="G22" i="1"/>
  <c r="H22" i="6"/>
  <c r="F24" i="10"/>
  <c r="F25" i="10"/>
  <c r="H24" i="10"/>
  <c r="H25" i="10"/>
  <c r="M24" i="10"/>
  <c r="M25" i="10"/>
  <c r="J24" i="10"/>
  <c r="J25" i="10"/>
  <c r="I24" i="10"/>
  <c r="I25" i="10"/>
  <c r="L24" i="10"/>
  <c r="L25" i="10"/>
  <c r="R24" i="10"/>
  <c r="R25" i="10"/>
  <c r="K24" i="10"/>
  <c r="K25" i="10"/>
  <c r="U24" i="10"/>
  <c r="U25" i="10"/>
  <c r="N24" i="10"/>
  <c r="N25" i="10"/>
  <c r="T24" i="10"/>
  <c r="T25" i="10"/>
  <c r="S24" i="10"/>
  <c r="S25" i="10"/>
  <c r="G22" i="6"/>
  <c r="J81" i="1"/>
  <c r="G58" i="1"/>
  <c r="G57" i="1"/>
  <c r="G32" i="4"/>
  <c r="N81" i="16"/>
  <c r="F40" i="16"/>
  <c r="N89" i="16"/>
  <c r="R81" i="16"/>
  <c r="J89" i="16"/>
  <c r="R89" i="16"/>
  <c r="F89" i="16"/>
  <c r="V81" i="16"/>
  <c r="J81" i="16"/>
  <c r="J40" i="16"/>
  <c r="V89" i="16"/>
  <c r="F81" i="16"/>
  <c r="V40" i="16"/>
  <c r="N132" i="16"/>
  <c r="T7" i="12"/>
  <c r="M7" i="12"/>
  <c r="G7" i="12"/>
  <c r="R7" i="12"/>
  <c r="J5" i="12"/>
  <c r="K7" i="12"/>
  <c r="P28" i="12"/>
  <c r="U28" i="12"/>
  <c r="N28" i="12"/>
  <c r="L28" i="12"/>
  <c r="I28" i="12"/>
  <c r="E28" i="12"/>
  <c r="V28" i="12"/>
  <c r="S28" i="12"/>
  <c r="Q28" i="12"/>
  <c r="F28" i="12"/>
  <c r="D28" i="12"/>
  <c r="C28" i="12"/>
  <c r="C7" i="10"/>
  <c r="D7" i="10"/>
  <c r="J19" i="10"/>
  <c r="K19" i="10"/>
  <c r="P19" i="10"/>
  <c r="Q19" i="10"/>
  <c r="J132" i="16"/>
  <c r="S19" i="10"/>
  <c r="N19" i="10"/>
  <c r="O19" i="10"/>
  <c r="U19" i="10"/>
  <c r="R132" i="16"/>
  <c r="N40" i="16"/>
  <c r="R40" i="16"/>
  <c r="H27" i="4"/>
  <c r="H35" i="4"/>
  <c r="I6" i="4"/>
  <c r="J6" i="4"/>
  <c r="J27" i="4"/>
  <c r="J35" i="4"/>
  <c r="G35" i="1"/>
  <c r="G47" i="1"/>
  <c r="F46" i="1"/>
  <c r="H115" i="1"/>
  <c r="H110" i="1"/>
  <c r="I117" i="1"/>
  <c r="J139" i="1"/>
  <c r="H129" i="1"/>
  <c r="H128" i="1"/>
  <c r="G155" i="1"/>
  <c r="H32" i="4"/>
  <c r="I6" i="1"/>
  <c r="H96" i="1"/>
  <c r="G96" i="1"/>
  <c r="H81" i="1"/>
  <c r="I81" i="1"/>
  <c r="V132" i="16"/>
  <c r="N100" i="16"/>
  <c r="R100" i="16"/>
  <c r="J100" i="16"/>
  <c r="V100" i="16"/>
  <c r="S5" i="12"/>
  <c r="S7" i="12"/>
  <c r="E5" i="12"/>
  <c r="E7" i="12"/>
  <c r="Q5" i="12"/>
  <c r="Q7" i="12"/>
  <c r="N7" i="12"/>
  <c r="N5" i="12"/>
  <c r="R29" i="12"/>
  <c r="P7" i="12"/>
  <c r="P5" i="12"/>
  <c r="D7" i="12"/>
  <c r="D5" i="12"/>
  <c r="I7" i="12"/>
  <c r="I5" i="12"/>
  <c r="U7" i="12"/>
  <c r="U5" i="12"/>
  <c r="V7" i="12"/>
  <c r="V5" i="12"/>
  <c r="F5" i="12"/>
  <c r="F7" i="12"/>
  <c r="L5" i="12"/>
  <c r="L7" i="12"/>
  <c r="J29" i="12"/>
  <c r="V29" i="12"/>
  <c r="N29" i="12"/>
  <c r="F29" i="12"/>
  <c r="C5" i="12"/>
  <c r="C7" i="12"/>
  <c r="F19" i="12"/>
  <c r="F37" i="12"/>
  <c r="N37" i="12"/>
  <c r="J37" i="12"/>
  <c r="V37" i="12"/>
  <c r="R37" i="12"/>
  <c r="I27" i="4"/>
  <c r="I35" i="4"/>
  <c r="G30" i="1"/>
  <c r="G29" i="1"/>
  <c r="G26" i="1"/>
  <c r="J58" i="1"/>
  <c r="J57" i="1"/>
  <c r="I58" i="1"/>
  <c r="I57" i="1"/>
  <c r="J117" i="1"/>
  <c r="J115" i="1"/>
  <c r="J110" i="1"/>
  <c r="I115" i="1"/>
  <c r="I110" i="1"/>
  <c r="H155" i="1"/>
  <c r="I129" i="1"/>
  <c r="I128" i="1"/>
  <c r="J129" i="1"/>
  <c r="J128" i="1"/>
  <c r="H35" i="1"/>
  <c r="G46" i="1"/>
  <c r="H47" i="1"/>
  <c r="I32" i="4"/>
  <c r="I96" i="1"/>
  <c r="J6" i="1"/>
  <c r="J96" i="1"/>
  <c r="J71" i="16"/>
  <c r="N71" i="16"/>
  <c r="J35" i="1"/>
  <c r="I35" i="1"/>
  <c r="H30" i="1"/>
  <c r="H29" i="1"/>
  <c r="H26" i="1"/>
  <c r="I47" i="1"/>
  <c r="H46" i="1"/>
  <c r="I155" i="1"/>
  <c r="J32" i="4"/>
  <c r="F13" i="10"/>
  <c r="N72" i="16"/>
  <c r="R71" i="16"/>
  <c r="R72" i="16"/>
  <c r="G10" i="8"/>
  <c r="F108" i="16"/>
  <c r="V108" i="16"/>
  <c r="N108" i="16"/>
  <c r="R108" i="16"/>
  <c r="J155" i="1"/>
  <c r="J47" i="1"/>
  <c r="J46" i="1"/>
  <c r="I46" i="1"/>
  <c r="J30" i="1"/>
  <c r="J29" i="1"/>
  <c r="J26" i="1"/>
  <c r="I30" i="1"/>
  <c r="I29" i="1"/>
  <c r="I26" i="1"/>
  <c r="G13" i="10"/>
  <c r="H13" i="10"/>
  <c r="J108" i="16"/>
  <c r="G39" i="8"/>
  <c r="G7" i="8"/>
  <c r="H10" i="8"/>
  <c r="I13" i="10"/>
  <c r="V72" i="16"/>
  <c r="J13" i="10"/>
  <c r="F41" i="4"/>
  <c r="F14" i="4"/>
  <c r="H7" i="8"/>
  <c r="J13" i="16"/>
  <c r="K13" i="10"/>
  <c r="F15" i="6"/>
  <c r="F55" i="1"/>
  <c r="F52" i="1"/>
  <c r="F53" i="1"/>
  <c r="F51" i="1"/>
  <c r="F54" i="1"/>
  <c r="M3" i="16"/>
  <c r="N3" i="16"/>
  <c r="K3" i="16"/>
  <c r="L3" i="16"/>
  <c r="I10" i="8"/>
  <c r="L13" i="10"/>
  <c r="F50" i="1"/>
  <c r="M13" i="10"/>
  <c r="J10" i="8"/>
  <c r="I7" i="8"/>
  <c r="N13" i="10"/>
  <c r="O3" i="16"/>
  <c r="Q3" i="16"/>
  <c r="P3" i="16"/>
  <c r="R3" i="16"/>
  <c r="O13" i="10"/>
  <c r="K10" i="8"/>
  <c r="K12" i="16"/>
  <c r="N13" i="16"/>
  <c r="P13" i="10"/>
  <c r="J7" i="8"/>
  <c r="Q13" i="10"/>
  <c r="K7" i="8"/>
  <c r="R13" i="10"/>
  <c r="S13" i="10"/>
  <c r="O12" i="16"/>
  <c r="R13" i="16"/>
  <c r="U13" i="10"/>
  <c r="T13" i="10"/>
  <c r="V13" i="16"/>
  <c r="J68" i="5"/>
  <c r="J67" i="5"/>
  <c r="J66" i="5"/>
  <c r="J14" i="4"/>
  <c r="I67" i="5"/>
  <c r="I68" i="5"/>
  <c r="I14" i="4"/>
  <c r="I66" i="5"/>
  <c r="H68" i="5"/>
  <c r="H67" i="5"/>
  <c r="H14" i="4"/>
  <c r="H66" i="5"/>
  <c r="K39" i="8"/>
  <c r="J39" i="8"/>
  <c r="G38" i="5"/>
  <c r="G39" i="5"/>
  <c r="G68" i="5"/>
  <c r="G14" i="4"/>
  <c r="G66" i="5"/>
  <c r="G67" i="5"/>
  <c r="I39" i="8"/>
  <c r="H53" i="8"/>
  <c r="H39" i="8"/>
  <c r="I53" i="8"/>
  <c r="J53" i="8"/>
  <c r="K53" i="8"/>
  <c r="N19" i="12"/>
  <c r="R19" i="12"/>
  <c r="V19" i="12"/>
  <c r="J19" i="12"/>
  <c r="J69" i="5"/>
  <c r="J70" i="5"/>
  <c r="I69" i="5"/>
  <c r="I70" i="5"/>
  <c r="H69" i="5"/>
  <c r="H70" i="5"/>
  <c r="G69" i="5"/>
  <c r="G70" i="5"/>
  <c r="Z19" i="12"/>
  <c r="L39" i="8"/>
  <c r="L53" i="8"/>
  <c r="K14" i="4"/>
  <c r="K66" i="5"/>
  <c r="K67" i="5"/>
  <c r="K68" i="5"/>
  <c r="K69" i="5"/>
  <c r="K70" i="5"/>
  <c r="H42" i="20"/>
  <c r="H45" i="20"/>
  <c r="G42" i="20"/>
  <c r="G45" i="20"/>
  <c r="F42" i="20"/>
  <c r="F45" i="20"/>
  <c r="E42" i="20"/>
  <c r="E45" i="20"/>
  <c r="F153" i="1"/>
  <c r="F151" i="1"/>
  <c r="J153" i="1"/>
  <c r="J151" i="1"/>
  <c r="I153" i="1"/>
  <c r="I151" i="1"/>
  <c r="H153" i="1"/>
  <c r="H151" i="1"/>
  <c r="G153" i="1"/>
  <c r="G151" i="1"/>
  <c r="K153" i="1"/>
  <c r="K151" i="1"/>
  <c r="F86" i="1"/>
  <c r="F75" i="1"/>
  <c r="F74" i="1"/>
  <c r="F49" i="1"/>
  <c r="G86" i="1"/>
  <c r="G75" i="1"/>
  <c r="G74" i="1"/>
  <c r="G49" i="1"/>
  <c r="H86" i="1"/>
  <c r="H75" i="1"/>
  <c r="H74" i="1"/>
  <c r="H49" i="1"/>
  <c r="I86" i="1"/>
  <c r="I75" i="1"/>
  <c r="I74" i="1"/>
  <c r="I49" i="1"/>
  <c r="J86" i="1"/>
  <c r="J75" i="1"/>
  <c r="J74" i="1"/>
  <c r="J49" i="1"/>
  <c r="K86" i="1"/>
  <c r="K75" i="1"/>
  <c r="K74" i="1"/>
  <c r="K49" i="1"/>
  <c r="L86" i="1"/>
  <c r="L75" i="1"/>
  <c r="L74" i="1"/>
  <c r="L49" i="1"/>
  <c r="M86" i="1"/>
  <c r="M75" i="1"/>
  <c r="M74" i="1"/>
  <c r="M49" i="1"/>
  <c r="N86" i="1"/>
  <c r="N75" i="1"/>
  <c r="N74" i="1"/>
  <c r="N49" i="1"/>
  <c r="O87" i="1"/>
  <c r="O86" i="1"/>
  <c r="O75" i="1"/>
  <c r="O74" i="1"/>
  <c r="O49" i="1"/>
  <c r="F94" i="1"/>
  <c r="G94" i="1"/>
  <c r="H94" i="1"/>
  <c r="I94" i="1"/>
  <c r="J94" i="1"/>
  <c r="K94" i="1"/>
  <c r="L94" i="1"/>
  <c r="M94" i="1"/>
  <c r="N94" i="1"/>
  <c r="O94" i="1"/>
  <c r="F98" i="1"/>
  <c r="F97" i="1"/>
  <c r="G98" i="1"/>
  <c r="G97" i="1"/>
  <c r="H98" i="1"/>
  <c r="H97" i="1"/>
  <c r="I98" i="1"/>
  <c r="I97" i="1"/>
  <c r="J98" i="1"/>
  <c r="J97" i="1"/>
  <c r="K98" i="1"/>
  <c r="K97" i="1"/>
  <c r="L98" i="1"/>
  <c r="L97" i="1"/>
  <c r="M98" i="1"/>
  <c r="M97" i="1"/>
  <c r="N98" i="1"/>
  <c r="N97" i="1"/>
  <c r="O98" i="1"/>
  <c r="O97" i="1"/>
  <c r="F156" i="1"/>
  <c r="G156" i="1"/>
  <c r="H156" i="1"/>
  <c r="I156" i="1"/>
  <c r="J156" i="1"/>
  <c r="K156" i="1"/>
  <c r="L156" i="1"/>
  <c r="M156" i="1"/>
  <c r="N156" i="1"/>
  <c r="O156" i="1"/>
  <c r="F157" i="1"/>
  <c r="G157" i="1"/>
  <c r="H157" i="1"/>
  <c r="I157" i="1"/>
  <c r="J157" i="1"/>
  <c r="K157" i="1"/>
  <c r="L157" i="1"/>
  <c r="M157" i="1"/>
  <c r="N157" i="1"/>
  <c r="O157" i="1"/>
  <c r="F67" i="6"/>
  <c r="G67" i="6"/>
  <c r="H67" i="6"/>
  <c r="I67" i="6"/>
  <c r="J67" i="6"/>
  <c r="K67" i="6"/>
  <c r="L67" i="6"/>
  <c r="M67" i="6"/>
  <c r="N67" i="6"/>
  <c r="O6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Amir Damerdji</author>
  </authors>
  <commentList>
    <comment ref="B6" authorId="0" shapeId="0" xr:uid="{3E98F7BD-C51F-4CDC-8BEF-5D14E7B8918C}">
      <text>
        <r>
          <rPr>
            <b/>
            <sz val="9"/>
            <color indexed="81"/>
            <rFont val="Tahoma"/>
            <family val="2"/>
          </rPr>
          <t>Amir Damerdji:</t>
        </r>
        <r>
          <rPr>
            <sz val="9"/>
            <color indexed="81"/>
            <rFont val="Tahoma"/>
            <family val="2"/>
          </rPr>
          <t xml:space="preserve">
Year 0 through Year 9 (2026–2035)</t>
        </r>
      </text>
    </comment>
    <comment ref="B12" authorId="0" shapeId="0" xr:uid="{D29A615A-ADCB-4878-A7EF-29B87F1637B4}">
      <text>
        <r>
          <rPr>
            <b/>
            <sz val="9"/>
            <color indexed="81"/>
            <rFont val="Tahoma"/>
            <family val="2"/>
          </rPr>
          <t>Source: Futurum/CNBC $3.5-4M. Model $6M includes ancillary costs. See Notes S9.</t>
        </r>
      </text>
    </comment>
    <comment ref="B42" authorId="0" shapeId="0" xr:uid="{1A97D165-E37D-4A12-AACB-286A096DEBF1}">
      <text>
        <r>
          <rPr>
            <b/>
            <sz val="9"/>
            <color indexed="81"/>
            <rFont val="Tahoma"/>
            <family val="2"/>
          </rPr>
          <t>Amir Damerdji:</t>
        </r>
        <r>
          <rPr>
            <sz val="9"/>
            <color indexed="81"/>
            <rFont val="Tahoma"/>
            <family val="2"/>
          </rPr>
          <t xml:space="preserve">
Sourced from local team</t>
        </r>
      </text>
    </comment>
    <comment ref="B43" authorId="0" shapeId="0" xr:uid="{960DDBE7-7652-42C4-8FCB-953BA928BE47}">
      <text>
        <r>
          <rPr>
            <b/>
            <sz val="9"/>
            <color indexed="81"/>
            <rFont val="Tahoma"/>
            <family val="2"/>
          </rPr>
          <t>Amir Damerdji:</t>
        </r>
        <r>
          <rPr>
            <sz val="9"/>
            <color indexed="81"/>
            <rFont val="Tahoma"/>
            <family val="2"/>
          </rPr>
          <t xml:space="preserve">
Sourced from local team</t>
        </r>
      </text>
    </comment>
    <comment ref="B44" authorId="0" shapeId="0" xr:uid="{DF526D92-5BE2-4A98-BC15-DDA60D1487A5}">
      <text>
        <r>
          <rPr>
            <b/>
            <sz val="9"/>
            <color indexed="81"/>
            <rFont val="Tahoma"/>
            <family val="2"/>
          </rPr>
          <t>Amir Damerdji:</t>
        </r>
        <r>
          <rPr>
            <sz val="9"/>
            <color indexed="81"/>
            <rFont val="Tahoma"/>
            <family val="2"/>
          </rPr>
          <t xml:space="preserve">
Sourced from local team</t>
        </r>
      </text>
    </comment>
    <comment ref="B45" authorId="0" shapeId="0" xr:uid="{2138CA78-E304-42F3-92B2-FDF5752A9722}">
      <text>
        <r>
          <rPr>
            <b/>
            <sz val="9"/>
            <color indexed="81"/>
            <rFont val="Tahoma"/>
            <family val="2"/>
          </rPr>
          <t>Amir Damerdji:</t>
        </r>
        <r>
          <rPr>
            <sz val="9"/>
            <color indexed="81"/>
            <rFont val="Tahoma"/>
            <family val="2"/>
          </rPr>
          <t xml:space="preserve">
Sourced from local team</t>
        </r>
      </text>
    </comment>
    <comment ref="B46" authorId="0" shapeId="0" xr:uid="{EE75F188-6DE8-4FB7-BEF5-D82A57EA3BD7}">
      <text>
        <r>
          <rPr>
            <b/>
            <sz val="9"/>
            <color indexed="81"/>
            <rFont val="Tahoma"/>
            <family val="2"/>
          </rPr>
          <t>Amir Damerdji:</t>
        </r>
        <r>
          <rPr>
            <sz val="9"/>
            <color indexed="81"/>
            <rFont val="Tahoma"/>
            <family val="2"/>
          </rPr>
          <t xml:space="preserve">
Sourced from local team</t>
        </r>
      </text>
    </comment>
    <comment ref="B47" authorId="0" shapeId="0" xr:uid="{EE25C12A-6E3E-4D5D-AB11-7913F292DBC5}">
      <text>
        <r>
          <rPr>
            <b/>
            <sz val="9"/>
            <color indexed="81"/>
            <rFont val="Tahoma"/>
            <family val="2"/>
          </rPr>
          <t>Amir Damerdji:</t>
        </r>
        <r>
          <rPr>
            <sz val="9"/>
            <color indexed="81"/>
            <rFont val="Tahoma"/>
            <family val="2"/>
          </rPr>
          <t xml:space="preserve">
Sourced from local team</t>
        </r>
      </text>
    </comment>
    <comment ref="B48" authorId="0" shapeId="0" xr:uid="{97A5947B-77DE-457D-AED7-4106B8D71060}">
      <text>
        <r>
          <rPr>
            <b/>
            <sz val="9"/>
            <color indexed="81"/>
            <rFont val="Tahoma"/>
            <family val="2"/>
          </rPr>
          <t>Amir Damerdji:</t>
        </r>
        <r>
          <rPr>
            <sz val="9"/>
            <color indexed="81"/>
            <rFont val="Tahoma"/>
            <family val="2"/>
          </rPr>
          <t xml:space="preserve">
Sourced from local team</t>
        </r>
      </text>
    </comment>
    <comment ref="B49" authorId="0" shapeId="0" xr:uid="{9363022D-8D2B-4CD3-9AF3-FB39F703AFBF}">
      <text>
        <r>
          <rPr>
            <b/>
            <sz val="9"/>
            <color indexed="81"/>
            <rFont val="Tahoma"/>
            <family val="2"/>
          </rPr>
          <t>Amir Damerdji:</t>
        </r>
        <r>
          <rPr>
            <sz val="9"/>
            <color indexed="81"/>
            <rFont val="Tahoma"/>
            <family val="2"/>
          </rPr>
          <t xml:space="preserve">
Sourced from local team</t>
        </r>
      </text>
    </comment>
    <comment ref="B50" authorId="0" shapeId="0" xr:uid="{A9774CD7-C0B9-4222-825C-6DCE01883B39}">
      <text>
        <r>
          <rPr>
            <b/>
            <sz val="9"/>
            <color indexed="81"/>
            <rFont val="Tahoma"/>
            <family val="2"/>
          </rPr>
          <t>Amir Damerdji:</t>
        </r>
        <r>
          <rPr>
            <sz val="9"/>
            <color indexed="81"/>
            <rFont val="Tahoma"/>
            <family val="2"/>
          </rPr>
          <t xml:space="preserve">
Sourced from local team</t>
        </r>
      </text>
    </comment>
    <comment ref="B51" authorId="0" shapeId="0" xr:uid="{914466CE-8F8D-4240-A4EF-6A20A4964BF6}">
      <text>
        <r>
          <rPr>
            <b/>
            <sz val="9"/>
            <color indexed="81"/>
            <rFont val="Tahoma"/>
            <family val="2"/>
          </rPr>
          <t>Amir Damerdji:</t>
        </r>
        <r>
          <rPr>
            <sz val="9"/>
            <color indexed="81"/>
            <rFont val="Tahoma"/>
            <family val="2"/>
          </rPr>
          <t xml:space="preserve">
Sourced from local team</t>
        </r>
      </text>
    </comment>
    <comment ref="B52" authorId="0" shapeId="0" xr:uid="{26A8F339-8C3C-46AE-9893-FE234A691FA7}">
      <text>
        <r>
          <rPr>
            <b/>
            <sz val="9"/>
            <color indexed="81"/>
            <rFont val="Tahoma"/>
            <family val="2"/>
          </rPr>
          <t>Amir Damerdji:</t>
        </r>
        <r>
          <rPr>
            <sz val="9"/>
            <color indexed="81"/>
            <rFont val="Tahoma"/>
            <family val="2"/>
          </rPr>
          <t xml:space="preserve">
Sourced from local team</t>
        </r>
      </text>
    </comment>
    <comment ref="B64" authorId="0" shapeId="0" xr:uid="{A98FD62B-5CCD-40A0-95F2-857F3219D227}">
      <text>
        <r>
          <rPr>
            <b/>
            <sz val="9"/>
            <color indexed="81"/>
            <rFont val="Tahoma"/>
            <family val="2"/>
          </rPr>
          <t>Amir Damerdji:</t>
        </r>
        <r>
          <rPr>
            <sz val="9"/>
            <color indexed="81"/>
            <rFont val="Tahoma"/>
            <family val="2"/>
          </rPr>
          <t xml:space="preserve">
Sourced from local team</t>
        </r>
      </text>
    </comment>
    <comment ref="B65" authorId="0" shapeId="0" xr:uid="{7DCCD624-5D5F-4AB5-BBEF-4C867B069E4D}">
      <text>
        <r>
          <rPr>
            <b/>
            <sz val="9"/>
            <color indexed="81"/>
            <rFont val="Tahoma"/>
            <family val="2"/>
          </rPr>
          <t>Amir Damerdji:</t>
        </r>
        <r>
          <rPr>
            <sz val="9"/>
            <color indexed="81"/>
            <rFont val="Tahoma"/>
            <family val="2"/>
          </rPr>
          <t xml:space="preserve">
Sourced from local team</t>
        </r>
      </text>
    </comment>
    <comment ref="B81" authorId="0" shapeId="0" xr:uid="{53F1B4EA-B608-47CD-8029-1FEDD84E7AF5}">
      <text>
        <r>
          <rPr>
            <b/>
            <sz val="9"/>
            <color indexed="81"/>
            <rFont val="Tahoma"/>
            <family val="2"/>
          </rPr>
          <t>Amir Damerdji:</t>
        </r>
        <r>
          <rPr>
            <sz val="9"/>
            <color indexed="81"/>
            <rFont val="Tahoma"/>
            <family val="2"/>
          </rPr>
          <t xml:space="preserve">
Need to clarify where it comes from</t>
        </r>
      </text>
    </comment>
    <comment ref="B99" authorId="0" shapeId="0" xr:uid="{563FF684-C06D-4DF2-92D8-9EE074496519}">
      <text>
        <r>
          <rPr>
            <b/>
            <sz val="9"/>
            <color indexed="81"/>
            <rFont val="Tahoma"/>
            <family val="2"/>
          </rPr>
          <t>Amir Damerdji:</t>
        </r>
        <r>
          <rPr>
            <sz val="9"/>
            <color indexed="81"/>
            <rFont val="Tahoma"/>
            <family val="2"/>
          </rPr>
          <t xml:space="preserve">
New addition to the previous model. To becnhmark</t>
        </r>
      </text>
    </comment>
    <comment ref="B100" authorId="0" shapeId="0" xr:uid="{2EC6B81B-5D45-4412-A434-0B5EFFA6D86F}">
      <text>
        <r>
          <rPr>
            <b/>
            <sz val="9"/>
            <color indexed="81"/>
            <rFont val="Tahoma"/>
            <family val="2"/>
          </rPr>
          <t>Amir Damerdji:</t>
        </r>
        <r>
          <rPr>
            <sz val="9"/>
            <color indexed="81"/>
            <rFont val="Tahoma"/>
            <family val="2"/>
          </rPr>
          <t xml:space="preserve">
New addition to the previous model. To becnhmark</t>
        </r>
      </text>
    </comment>
    <comment ref="B101" authorId="0" shapeId="0" xr:uid="{25172551-1E84-4A57-BB04-1ECDEE82CFC6}">
      <text>
        <r>
          <rPr>
            <b/>
            <sz val="9"/>
            <color indexed="81"/>
            <rFont val="Tahoma"/>
            <family val="2"/>
          </rPr>
          <t>Amir Damerdji:</t>
        </r>
        <r>
          <rPr>
            <sz val="9"/>
            <color indexed="81"/>
            <rFont val="Tahoma"/>
            <family val="2"/>
          </rPr>
          <t xml:space="preserve">
New addition to the previous model. To becnhmark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Amir Damerdji</author>
    <author>Krzysztof Wiśniewski</author>
  </authors>
  <commentList>
    <comment ref="B11" authorId="0" shapeId="0" xr:uid="{83566426-7CCF-44F7-921F-DBB458BD1697}">
      <text>
        <r>
          <rPr>
            <b/>
            <sz val="9"/>
            <color indexed="81"/>
            <rFont val="Tahoma"/>
            <family val="2"/>
          </rPr>
          <t>Amir Damerdji:</t>
        </r>
        <r>
          <rPr>
            <sz val="9"/>
            <color indexed="81"/>
            <rFont val="Tahoma"/>
            <family val="2"/>
          </rPr>
          <t xml:space="preserve">
~2% of initial CapEx ($3.67B). Covers cooling, networking, facility upkeep. Industry range: 2-5% of initial investment.</t>
        </r>
      </text>
    </comment>
    <comment ref="B12" authorId="0" shapeId="0" xr:uid="{F11556BE-66C4-4BE0-804B-DF5CEA8AB6A1}">
      <text>
        <r>
          <rPr>
            <b/>
            <sz val="9"/>
            <color indexed="81"/>
            <rFont val="Tahoma"/>
            <family val="2"/>
          </rPr>
          <t>Amir Damerdji:</t>
        </r>
        <r>
          <rPr>
            <sz val="9"/>
            <color indexed="81"/>
            <rFont val="Tahoma"/>
            <family val="2"/>
          </rPr>
          <t xml:space="preserve">
Phased GPU replacement starting Year 4. ~6.5% of original GPU cost ($3.07B). Technology refresh cycle = 3-5 years.</t>
        </r>
      </text>
    </comment>
    <comment ref="B13" authorId="0" shapeId="0" xr:uid="{A74F2660-86DA-48A9-A75B-8E3DAC7B9BB8}">
      <text>
        <r>
          <rPr>
            <b/>
            <sz val="9"/>
            <color indexed="81"/>
            <rFont val="Tahoma"/>
            <family val="2"/>
          </rPr>
          <t>Amir Damerdji:</t>
        </r>
        <r>
          <rPr>
            <sz val="9"/>
            <color indexed="81"/>
            <rFont val="Tahoma"/>
            <family val="2"/>
          </rPr>
          <t xml:space="preserve">
Continued GPU replacement. ~13% of original GPU cost. Phased approach (not full fleet replacement in single year).</t>
        </r>
      </text>
    </comment>
    <comment ref="D25" authorId="1" shapeId="0" xr:uid="{1251F12B-8F87-46E5-9EB3-A0106FAA1193}">
      <text>
        <r>
          <rPr>
            <b/>
            <sz val="9"/>
            <color indexed="81"/>
            <rFont val="Tahoma"/>
            <charset val="1"/>
          </rPr>
          <t>Krzysztof Wiśniewski:</t>
        </r>
        <r>
          <rPr>
            <sz val="9"/>
            <color indexed="81"/>
            <rFont val="Tahoma"/>
            <charset val="1"/>
          </rPr>
          <t xml:space="preserve">
Tax relief: 3,800,000 PLN/year applied to reduce tax burden. Consistent with P&amp;L and Analysis sheets.</t>
        </r>
      </text>
    </comment>
    <comment ref="C28" authorId="0" shapeId="0" xr:uid="{8703D593-60E8-476F-AAE6-09FAC44B403B}">
      <text>
        <r>
          <rPr>
            <b/>
            <sz val="9"/>
            <color indexed="81"/>
            <rFont val="Tahoma"/>
            <family val="2"/>
          </rPr>
          <t>Amir Damerdji:</t>
        </r>
        <r>
          <rPr>
            <sz val="9"/>
            <color indexed="81"/>
            <rFont val="Tahoma"/>
            <family val="2"/>
          </rPr>
          <t xml:space="preserve">
Original $100K intangibles + $75M annual maintenance CapEx</t>
        </r>
      </text>
    </comment>
    <comment ref="F28" authorId="0" shapeId="0" xr:uid="{5A6B8A06-E626-4253-8F5F-935F1B294C5E}">
      <text>
        <r>
          <rPr>
            <b/>
            <sz val="9"/>
            <color indexed="81"/>
            <rFont val="Tahoma"/>
            <family val="2"/>
          </rPr>
          <t>Amir Damerdji:</t>
        </r>
        <r>
          <rPr>
            <sz val="9"/>
            <color indexed="81"/>
            <rFont val="Tahoma"/>
            <family val="2"/>
          </rPr>
          <t xml:space="preserve">
Maintenance + Year 4 GPU refresh ($200M)</t>
        </r>
      </text>
    </comment>
    <comment ref="G28" authorId="0" shapeId="0" xr:uid="{81BE1A00-7233-478B-BC0F-8EFE2897D86C}">
      <text>
        <r>
          <rPr>
            <b/>
            <sz val="9"/>
            <color indexed="81"/>
            <rFont val="Tahoma"/>
            <family val="2"/>
          </rPr>
          <t>Amir Damerdji:</t>
        </r>
        <r>
          <rPr>
            <sz val="9"/>
            <color indexed="81"/>
            <rFont val="Tahoma"/>
            <family val="2"/>
          </rPr>
          <t xml:space="preserve">
Maintenance + Year 5 GPU refresh ($400M)</t>
        </r>
      </text>
    </comment>
    <comment ref="H30" authorId="0" shapeId="0" xr:uid="{4801F0A2-D0CB-4E1B-B68A-21004E915E39}">
      <text>
        <r>
          <rPr>
            <b/>
            <sz val="9"/>
            <color indexed="81"/>
            <rFont val="Tahoma"/>
            <family val="2"/>
          </rPr>
          <t>Amir Damerdji:</t>
        </r>
        <r>
          <rPr>
            <sz val="9"/>
            <color indexed="81"/>
            <rFont val="Tahoma"/>
            <family val="2"/>
          </rPr>
          <t xml:space="preserve">
Terminal value uses selected EBITDA Multiple exit method (B62). Previously used Gordon Growth perpetuity.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Krzysztof Wiśniewski</author>
    <author>tc={678B9B55-396D-482C-B197-7254E6A31CBB}</author>
    <author>Mateusz Ostrowski</author>
  </authors>
  <commentList>
    <comment ref="G45" authorId="0" shapeId="0" xr:uid="{D82F567D-72A0-4EA3-833D-FB251FA94947}">
      <text>
        <r>
          <rPr>
            <b/>
            <sz val="9"/>
            <color indexed="81"/>
            <rFont val="Tahoma"/>
            <family val="2"/>
            <charset val="238"/>
          </rPr>
          <t>Krzysztof Wiśniewski:</t>
        </r>
        <r>
          <rPr>
            <sz val="9"/>
            <color indexed="81"/>
            <rFont val="Tahoma"/>
            <family val="2"/>
            <charset val="238"/>
          </rPr>
          <t xml:space="preserve">
działka 5,5ha
+
działka 18,5 ha</t>
        </r>
      </text>
    </comment>
    <comment ref="G46" authorId="0" shapeId="0" xr:uid="{8C496F85-A8C9-47F5-85B4-C7D2F09B64CB}">
      <text>
        <r>
          <rPr>
            <b/>
            <sz val="9"/>
            <color indexed="81"/>
            <rFont val="Tahoma"/>
            <family val="2"/>
            <charset val="238"/>
          </rPr>
          <t>Krzysztof Wiśniewski:</t>
        </r>
        <r>
          <rPr>
            <sz val="9"/>
            <color indexed="81"/>
            <rFont val="Tahoma"/>
            <family val="2"/>
            <charset val="238"/>
          </rPr>
          <t xml:space="preserve">
budynekk
baterie
agregaty
przyłącze
pozostałe
</t>
        </r>
      </text>
    </comment>
    <comment ref="E47" authorId="1" shapeId="0" xr:uid="{678B9B55-396D-482C-B197-7254E6A31CBB}">
      <text>
        <t>[Threaded comment]
Your version of Excel allows you to read this threaded comment; however, any edits to it will get removed if the file is opened in a newer version of Excel. Learn more: https://go.microsoft.com/fwlink/?linkid=870924
Comment:
    Wpisać wersję alternatywną dla GB300 i opcjonalną informację o tym że zakładamy VR będzie 30% droższy - drugi model do obliczeń</t>
      </text>
    </comment>
    <comment ref="G47" authorId="2" shapeId="0" xr:uid="{00000000-0006-0000-0400-000003000000}">
      <text>
        <r>
          <rPr>
            <b/>
            <sz val="9"/>
            <color indexed="81"/>
            <rFont val="Tahoma"/>
            <family val="2"/>
            <charset val="238"/>
          </rPr>
          <t>Mateusz Ostrowski:</t>
        </r>
        <r>
          <rPr>
            <sz val="9"/>
            <color indexed="81"/>
            <rFont val="Tahoma"/>
            <family val="2"/>
            <charset val="238"/>
          </rPr>
          <t xml:space="preserve">
1 rack GPU - 4 mln 
1 rack facility - 0,5 mln bo 32 m za halę w ktrórej sa 64 rack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Amir Damerdji</author>
  </authors>
  <commentList>
    <comment ref="J20" authorId="0" shapeId="0" xr:uid="{E1AAABAB-B474-41C7-8453-C87119A2C3CC}">
      <text>
        <r>
          <rPr>
            <b/>
            <sz val="9"/>
            <color indexed="81"/>
            <rFont val="Tahoma"/>
            <family val="2"/>
          </rPr>
          <t>Amir Damerdji:</t>
        </r>
        <r>
          <rPr>
            <sz val="9"/>
            <color indexed="81"/>
            <rFont val="Tahoma"/>
            <family val="2"/>
          </rPr>
          <t xml:space="preserve">
Changed from 5% to 0% (flat pricing). Historical GPU cloud pricing deflates 40-50%/yr. Flat = conservative base case. 5% escalation reserved for bull scenario. See Notes Section 10.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Krzysztof Wiśniewski</author>
    <author>Wiśniewski, Krzysztof (BSS)</author>
  </authors>
  <commentList>
    <comment ref="B16" authorId="0" shapeId="0" xr:uid="{5CB0BF4A-91C6-4681-A010-EBD0A46AFB5A}">
      <text>
        <r>
          <rPr>
            <b/>
            <sz val="9"/>
            <color indexed="81"/>
            <rFont val="Tahoma"/>
            <family val="2"/>
            <charset val="238"/>
          </rPr>
          <t>Krzysztof Wiśniewski:</t>
        </r>
        <r>
          <rPr>
            <sz val="9"/>
            <color indexed="81"/>
            <rFont val="Tahoma"/>
            <family val="2"/>
            <charset val="238"/>
          </rPr>
          <t xml:space="preserve">
no CTO&amp;Directors</t>
        </r>
      </text>
    </comment>
    <comment ref="B60" authorId="1" shapeId="0" xr:uid="{DD0C99D1-2084-4DC1-9653-E5284B3A5E30}">
      <text>
        <r>
          <rPr>
            <b/>
            <sz val="9"/>
            <color indexed="81"/>
            <rFont val="Tahoma"/>
            <family val="2"/>
            <charset val="238"/>
          </rPr>
          <t>Wiśniewski, Krzysztof (BSS):</t>
        </r>
        <r>
          <rPr>
            <sz val="9"/>
            <color indexed="81"/>
            <rFont val="Tahoma"/>
            <family val="2"/>
            <charset val="238"/>
          </rPr>
          <t xml:space="preserve">
8*64 rack= 112,5 MWh
1 MWH = 130 USD
usage per year = 985 500 MWh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<sst xmlns="http://schemas.openxmlformats.org/spreadsheetml/2006/main" count="3326" uniqueCount="1975">
  <si>
    <t>BILANS</t>
  </si>
  <si>
    <t>BALANCE SHEET</t>
  </si>
  <si>
    <t>ASSETS</t>
  </si>
  <si>
    <t>a)</t>
  </si>
  <si>
    <t>AKTYWA TRWAŁE</t>
  </si>
  <si>
    <t>FIXED ASSETS</t>
  </si>
  <si>
    <t>I.</t>
  </si>
  <si>
    <t>Wartości niematerialne i prawne</t>
  </si>
  <si>
    <t>Intangible assets</t>
  </si>
  <si>
    <t>1.</t>
  </si>
  <si>
    <t>Koszty zakończonych prac rozwojowych</t>
  </si>
  <si>
    <t>R&amp;D expenses</t>
  </si>
  <si>
    <t>2.</t>
  </si>
  <si>
    <t>Wartość firmy</t>
  </si>
  <si>
    <t>Goodwill</t>
  </si>
  <si>
    <t>3.</t>
  </si>
  <si>
    <t>Inne wartości niematerialne i prawne</t>
  </si>
  <si>
    <t>Other intangible assets</t>
  </si>
  <si>
    <t>4.</t>
  </si>
  <si>
    <t>Zaliczki na wartości niematerialne i prawne</t>
  </si>
  <si>
    <t>Advances for intangible assets</t>
  </si>
  <si>
    <t>II.</t>
  </si>
  <si>
    <t>Rzeczowe aktywa trwałe</t>
  </si>
  <si>
    <t>Tangible assets</t>
  </si>
  <si>
    <t>Środki trwałe</t>
  </si>
  <si>
    <t>Tangible assets in use</t>
  </si>
  <si>
    <t>grunty (w tym prawo użytkowania wieczystego gruntu)</t>
  </si>
  <si>
    <t>land (including right to perpetual usufruct)</t>
  </si>
  <si>
    <t>b)</t>
  </si>
  <si>
    <t>budynki, lokale, prawa do lokali i inne obiekty</t>
  </si>
  <si>
    <t>plants, properties and buildings</t>
  </si>
  <si>
    <t>c)</t>
  </si>
  <si>
    <t>urządzenia techniczne i maszyny</t>
  </si>
  <si>
    <t>equipment and machinery</t>
  </si>
  <si>
    <t>d)</t>
  </si>
  <si>
    <t>środki transportu</t>
  </si>
  <si>
    <t>vehicles</t>
  </si>
  <si>
    <t>e)</t>
  </si>
  <si>
    <t>inne środki trwałe</t>
  </si>
  <si>
    <t>other tangible assets</t>
  </si>
  <si>
    <t>Środki trwałe w budowie</t>
  </si>
  <si>
    <t>Tangible assets under construction</t>
  </si>
  <si>
    <t>Zaliczki na środki trwałe w budowie</t>
  </si>
  <si>
    <t>Advances for tabgible assets under construction</t>
  </si>
  <si>
    <t>III.</t>
  </si>
  <si>
    <t>Należności długoterminowe</t>
  </si>
  <si>
    <t>Long-term receivables</t>
  </si>
  <si>
    <t>Od jednostek powiązanych</t>
  </si>
  <si>
    <t>From related entities</t>
  </si>
  <si>
    <t>Od pozostałych jednostek powiązanych kapitałowo</t>
  </si>
  <si>
    <t>From other entities affiliated by capital</t>
  </si>
  <si>
    <t>Od pozostałych jednostek</t>
  </si>
  <si>
    <t>From other entities</t>
  </si>
  <si>
    <t>IV.</t>
  </si>
  <si>
    <t>Inwestycje długoterminowe</t>
  </si>
  <si>
    <t>Long-term investments</t>
  </si>
  <si>
    <t>Nieruchomości</t>
  </si>
  <si>
    <t>Real estate</t>
  </si>
  <si>
    <t>Długoterminowe aktywa finansowe</t>
  </si>
  <si>
    <t>Long-term financial assets</t>
  </si>
  <si>
    <t>w jednostkach powiązanych</t>
  </si>
  <si>
    <t>in related entities</t>
  </si>
  <si>
    <t>-</t>
  </si>
  <si>
    <t>udziały lub akcje</t>
  </si>
  <si>
    <t>shares</t>
  </si>
  <si>
    <t>inne papiery wartościowe</t>
  </si>
  <si>
    <t>other securities</t>
  </si>
  <si>
    <t>udzielone pożyczki</t>
  </si>
  <si>
    <t>loans granted</t>
  </si>
  <si>
    <t>inne długoterminowe aktywa finansowe</t>
  </si>
  <si>
    <t>other long-term financial assets</t>
  </si>
  <si>
    <t>w pozostałych jednostkach powiązanych kapitałowo</t>
  </si>
  <si>
    <t>in other entities affiliated by capital</t>
  </si>
  <si>
    <t>w pozostałych jednostkach</t>
  </si>
  <si>
    <t>in other entities</t>
  </si>
  <si>
    <t>Inne inwestycje długoterminowe</t>
  </si>
  <si>
    <t>Other long-tern investments</t>
  </si>
  <si>
    <t>V.</t>
  </si>
  <si>
    <t>Długoterminowe rozliczenia międzyokresowe</t>
  </si>
  <si>
    <t>Long-term prepayments</t>
  </si>
  <si>
    <t>Aktywa z tytułu odroczonego podatku dochodowego</t>
  </si>
  <si>
    <t>Deferred tax assets</t>
  </si>
  <si>
    <t>Inne rozliczenia międzyokresowe</t>
  </si>
  <si>
    <t>Other prepayments</t>
  </si>
  <si>
    <t>AKTYWA OBROTOWE</t>
  </si>
  <si>
    <t>CURRENT ASSETS</t>
  </si>
  <si>
    <t>Zapasy</t>
  </si>
  <si>
    <t>Inventories</t>
  </si>
  <si>
    <t>Materiały</t>
  </si>
  <si>
    <t>Materials</t>
  </si>
  <si>
    <t>Półprodukty i produkty w toku</t>
  </si>
  <si>
    <t>Semifinished products and work in progress</t>
  </si>
  <si>
    <t>Produkty gotowe</t>
  </si>
  <si>
    <t>Finished products</t>
  </si>
  <si>
    <t>Towary</t>
  </si>
  <si>
    <t>Goods</t>
  </si>
  <si>
    <t>5.</t>
  </si>
  <si>
    <t>Zaliczki na dostawy i usługi</t>
  </si>
  <si>
    <t>Advances for deliveries</t>
  </si>
  <si>
    <t>Należności krótkoterminowe</t>
  </si>
  <si>
    <t>Short-term receivables</t>
  </si>
  <si>
    <t>Należności od jednostek powiązanych</t>
  </si>
  <si>
    <t>Receivables from related entities</t>
  </si>
  <si>
    <t>z tytułu dostaw i usług, o okresie spłaty:</t>
  </si>
  <si>
    <t>trade receivables, maturing:</t>
  </si>
  <si>
    <t>do 12 miesięcy</t>
  </si>
  <si>
    <t>up to 12 months</t>
  </si>
  <si>
    <t>powyżej 12 miesięcy</t>
  </si>
  <si>
    <t>above 12 months</t>
  </si>
  <si>
    <t>inne</t>
  </si>
  <si>
    <t>other</t>
  </si>
  <si>
    <t>Należności od pozostałych jednostek powiązanych kapitałowo</t>
  </si>
  <si>
    <t>Receivables from other entities afiliated by capital</t>
  </si>
  <si>
    <t>Należności od pozostałych jednostek</t>
  </si>
  <si>
    <t>Receivables from other entities</t>
  </si>
  <si>
    <t>z tytułu podatków, ceł, ubezpieczeń i innych świadczeń</t>
  </si>
  <si>
    <t>receivables from fees, taxes, social security and other benefits</t>
  </si>
  <si>
    <t>dochodzone na drodze sądowej</t>
  </si>
  <si>
    <t>claimed at court</t>
  </si>
  <si>
    <t>Inwestycje krótkoterminowe</t>
  </si>
  <si>
    <t>Krótkoterminowe aktywa finansowe</t>
  </si>
  <si>
    <t>Short-term financial assets</t>
  </si>
  <si>
    <t>inne krótkoterminowe aktywa finansowe</t>
  </si>
  <si>
    <t>other short-term financial assets</t>
  </si>
  <si>
    <t>środki pieniężne i inne aktywa pieniężne</t>
  </si>
  <si>
    <t>cash and equivalents</t>
  </si>
  <si>
    <t>środki pieniężne w kasie i na rachunkach</t>
  </si>
  <si>
    <t>cash in hand and at bank</t>
  </si>
  <si>
    <t>inne środki pieniężne</t>
  </si>
  <si>
    <t>other cash</t>
  </si>
  <si>
    <t>inne aktywa pieniężne</t>
  </si>
  <si>
    <t>other cash equivalents</t>
  </si>
  <si>
    <t>Inne inwestycje krótkoterminowe</t>
  </si>
  <si>
    <t>Other short-term investments</t>
  </si>
  <si>
    <t>Krótkoterminowe rozliczenia międzyokresowe</t>
  </si>
  <si>
    <t>Short-term prepayments</t>
  </si>
  <si>
    <t>Należne wpłaty na kapitał (fundusz) podstawowy</t>
  </si>
  <si>
    <t>Called up share capital</t>
  </si>
  <si>
    <t>Udziały (akcje) własne</t>
  </si>
  <si>
    <t>Own shares</t>
  </si>
  <si>
    <t>AKTYWA RAZEM</t>
  </si>
  <si>
    <t>TOTAL ASSETS</t>
  </si>
  <si>
    <t>EQUITY AND LIABILITIES</t>
  </si>
  <si>
    <t>KAPITAŁ (FUNDUSZ) WŁASNY</t>
  </si>
  <si>
    <t>SHAREHOLDERS' EQUITY</t>
  </si>
  <si>
    <t>Kapitał (fundusz) podstawowy</t>
  </si>
  <si>
    <t>Share capital</t>
  </si>
  <si>
    <t>Kapitał (fundusz) zapasowy, w tym:</t>
  </si>
  <si>
    <t>Supplementary capital</t>
  </si>
  <si>
    <t>nadwyżka wartości sprzedaży nad wartością nominalną</t>
  </si>
  <si>
    <t>agio</t>
  </si>
  <si>
    <t>Kapitał (fundusz) z aktualizacji wyceny, w tym:</t>
  </si>
  <si>
    <t>Revaluation reserve</t>
  </si>
  <si>
    <t>z tytułu aktualizacji wartości godziwej</t>
  </si>
  <si>
    <t>revaluation of fair value</t>
  </si>
  <si>
    <t>Pozostałe kapitały (fundusze) rezerwowe, w tym:</t>
  </si>
  <si>
    <t>Other reserve capital</t>
  </si>
  <si>
    <t>tworzone zgodnie z umową (statutem) spółki</t>
  </si>
  <si>
    <t>statutory reserve capital</t>
  </si>
  <si>
    <t>na udziały (akcje) własne</t>
  </si>
  <si>
    <t>for own shares</t>
  </si>
  <si>
    <t>Zysk (strata) z lat ubiegłych</t>
  </si>
  <si>
    <t>Retained earnings (losses)</t>
  </si>
  <si>
    <t>VI.</t>
  </si>
  <si>
    <t>Zysk (strata) netto</t>
  </si>
  <si>
    <t>Net profit (loss)</t>
  </si>
  <si>
    <t>VII.</t>
  </si>
  <si>
    <t>Odpisy z zysku netto w ciągu roku obrotowego (-)</t>
  </si>
  <si>
    <t>Write-off on net profit during current year (negative value)</t>
  </si>
  <si>
    <t>ZOBOWIĄZANIA I REZERWY NA ZOBOWIĄZANIA</t>
  </si>
  <si>
    <t>LIABILITIES AND PROVISIONS FOR LIABILITIES</t>
  </si>
  <si>
    <t>Rezerwy na zobowiązania</t>
  </si>
  <si>
    <t>Rezerwa z tytułu odroczonego podatku dochodowego</t>
  </si>
  <si>
    <t>Provision for deferred income tax</t>
  </si>
  <si>
    <t>Rezerwa na świadczenia emerytalne i podobne</t>
  </si>
  <si>
    <t>Provision for pension benefits</t>
  </si>
  <si>
    <t>długoterminowa</t>
  </si>
  <si>
    <t>long-term</t>
  </si>
  <si>
    <t>krótkoterminowa</t>
  </si>
  <si>
    <t>short-term</t>
  </si>
  <si>
    <t>Pozostałe rezerwy</t>
  </si>
  <si>
    <t>Other provisions</t>
  </si>
  <si>
    <t>długoterminowe</t>
  </si>
  <si>
    <t>krótkoterminowe</t>
  </si>
  <si>
    <t>Zobowiązania długoterminowe</t>
  </si>
  <si>
    <t>Long-term liabilities</t>
  </si>
  <si>
    <t>Wobec jednostek powiązanych</t>
  </si>
  <si>
    <t>To related entities</t>
  </si>
  <si>
    <t>Wobec pozostałych jednostek powiązanych kapitałowo</t>
  </si>
  <si>
    <t>To other entities affiliated by capital</t>
  </si>
  <si>
    <t>Wobec pozostałych jednostek</t>
  </si>
  <si>
    <t>To other entities</t>
  </si>
  <si>
    <t>kredyty i pożyczki</t>
  </si>
  <si>
    <t>loans</t>
  </si>
  <si>
    <t>z tytułu emisji dłużnych papierów wartościowych</t>
  </si>
  <si>
    <t>debt securities</t>
  </si>
  <si>
    <t>inne zobowiązania finansowe</t>
  </si>
  <si>
    <t>other financial liabilities</t>
  </si>
  <si>
    <t>zobowiązania wekslowe</t>
  </si>
  <si>
    <t>long-term BoE liabilities</t>
  </si>
  <si>
    <t>other long-term financial liabilities</t>
  </si>
  <si>
    <t>Zobowiązania krótkoterminowe</t>
  </si>
  <si>
    <t>Short-term liabilities</t>
  </si>
  <si>
    <t>Zobowiązania wobec jednostek powiązanych</t>
  </si>
  <si>
    <t>z tytułu dostaw i usług, o okresie wymagalności:</t>
  </si>
  <si>
    <t>trade payables, maturing:</t>
  </si>
  <si>
    <t>Zobowiązania wobec poz. jednostek powiązanych kapitałowo</t>
  </si>
  <si>
    <t>Zobowiązania wobec pozostałych jednostek</t>
  </si>
  <si>
    <t>zaliczki otrzymane na dostawy i usługi</t>
  </si>
  <si>
    <t>receives advances for deliveries</t>
  </si>
  <si>
    <t>f)</t>
  </si>
  <si>
    <t>short-term BoE liabilities</t>
  </si>
  <si>
    <t>g)</t>
  </si>
  <si>
    <t>fees, tax, social security and other liabilities</t>
  </si>
  <si>
    <t>h)</t>
  </si>
  <si>
    <t>z tytułu wynagrodzeń</t>
  </si>
  <si>
    <t>payroll liabilities</t>
  </si>
  <si>
    <t>Fundusze specjalne</t>
  </si>
  <si>
    <t>Special-purpose funds</t>
  </si>
  <si>
    <t>Rozliczenia międzyokresowe</t>
  </si>
  <si>
    <t>Accruals</t>
  </si>
  <si>
    <t>Ujemna wartość firmy</t>
  </si>
  <si>
    <t>Negative goodwill</t>
  </si>
  <si>
    <t>Other accruals</t>
  </si>
  <si>
    <t>PASYWA RAZEM</t>
  </si>
  <si>
    <t>TOTAL EQUITY AND LIABILITIES</t>
  </si>
  <si>
    <t>RACHUNEK ZYSKÓW I STRAT</t>
  </si>
  <si>
    <t>PROFIT AND LOSS ACCOUNT</t>
  </si>
  <si>
    <t>RACHUNEK ZYSKÓW I STRAT PLN</t>
  </si>
  <si>
    <t>A.</t>
  </si>
  <si>
    <t>PRZYCHODY NETTO ZE SPRZEDAŻY I ZRÓWNANE Z NIMI</t>
  </si>
  <si>
    <t>NET REVENUE FROM SALES</t>
  </si>
  <si>
    <t>od jednostek powiązanych</t>
  </si>
  <si>
    <t>from related entities</t>
  </si>
  <si>
    <t>Zmiana stanu produktów (+/-)</t>
  </si>
  <si>
    <t>Change in balance of products (+/-)</t>
  </si>
  <si>
    <t>Koszt wytworzenia produktów na własne potrzeby jednostki</t>
  </si>
  <si>
    <t>Cost of products for internal purposes</t>
  </si>
  <si>
    <t>Przychody netto ze sprzedaży towarów i materiałów</t>
  </si>
  <si>
    <t>Net revenue from sales of goods and materials</t>
  </si>
  <si>
    <t>B.</t>
  </si>
  <si>
    <t>KOSZTY DZIAŁALNOŚCI OPERACYJNEJ</t>
  </si>
  <si>
    <t>OPERATING EXPENSES</t>
  </si>
  <si>
    <t>Amortyzacja</t>
  </si>
  <si>
    <t>Zużycie materiałów i energii</t>
  </si>
  <si>
    <t>Usługi obce</t>
  </si>
  <si>
    <t>External services</t>
  </si>
  <si>
    <t>Podatki i opłaty</t>
  </si>
  <si>
    <t>Fees and taxes</t>
  </si>
  <si>
    <t>podatek akcyzowy</t>
  </si>
  <si>
    <t>excise duty</t>
  </si>
  <si>
    <t>Wynagrodzenia</t>
  </si>
  <si>
    <t>Payroll</t>
  </si>
  <si>
    <t>Ubezpieczenia społeczne i inne świadczenia</t>
  </si>
  <si>
    <t>Social security and other benefits</t>
  </si>
  <si>
    <t>emerytalne</t>
  </si>
  <si>
    <t>pension</t>
  </si>
  <si>
    <t>Pozostałe koszty rodzajowe</t>
  </si>
  <si>
    <t>Other costs by type</t>
  </si>
  <si>
    <t>VIII.</t>
  </si>
  <si>
    <t>Wartość sprzedanych towarów i materiałów</t>
  </si>
  <si>
    <t>Direct cost of goods and materials sold</t>
  </si>
  <si>
    <t>C.</t>
  </si>
  <si>
    <t>ZYSK (STRATA) ZE SPRZEDAŻY</t>
  </si>
  <si>
    <t>PROFIT (LOSS) ON SALES</t>
  </si>
  <si>
    <t>D.</t>
  </si>
  <si>
    <t>Pozostałe przychody operacyjne</t>
  </si>
  <si>
    <t>Other operating revenue</t>
  </si>
  <si>
    <t>Zysk z tytułu rozchodu niefinansowych aktywów trwałych</t>
  </si>
  <si>
    <t>Gain on disposal of non-financial assets</t>
  </si>
  <si>
    <t>Dotacje</t>
  </si>
  <si>
    <t>Subsidies</t>
  </si>
  <si>
    <t>Aktualizacja wartości aktywów niefinansowych</t>
  </si>
  <si>
    <t>Gain on revaluation of non-financial assets</t>
  </si>
  <si>
    <t>Inne przychody operacyjne</t>
  </si>
  <si>
    <t>E.</t>
  </si>
  <si>
    <t>Pozostałe koszty operacyjne</t>
  </si>
  <si>
    <t>Other operating expenses</t>
  </si>
  <si>
    <t>Strata z tytułu rozchodu niefinansowych aktywów trwałych</t>
  </si>
  <si>
    <t>Loss on disposal of non-financial assets</t>
  </si>
  <si>
    <t>Loss on revaluation of non-financial assets</t>
  </si>
  <si>
    <t>Inne koszty operacyjne</t>
  </si>
  <si>
    <t>F.</t>
  </si>
  <si>
    <t>ZYSK (STRATA) Z DZIAŁALNOŚCI OPERACYJNEJ</t>
  </si>
  <si>
    <t>PROFIT (LOSS) ON OPERATING ACTIVITIES</t>
  </si>
  <si>
    <t>EBITDA</t>
  </si>
  <si>
    <t>marża EBITDA</t>
  </si>
  <si>
    <t>G.</t>
  </si>
  <si>
    <t>Przychody finansowe</t>
  </si>
  <si>
    <t>Financial revenue</t>
  </si>
  <si>
    <t>Dywidendy i udziały w zyskach, w tym:</t>
  </si>
  <si>
    <t>Dividends</t>
  </si>
  <si>
    <t>od jednostek powiązanych, w tym:</t>
  </si>
  <si>
    <t>w których jednostka posiada zaangażowanie w kapitale</t>
  </si>
  <si>
    <t>affiliated by capital</t>
  </si>
  <si>
    <t>od jednostek pozostałych, w tym:</t>
  </si>
  <si>
    <t>from other entities</t>
  </si>
  <si>
    <t>Odsetki, w tym:</t>
  </si>
  <si>
    <t>Interest</t>
  </si>
  <si>
    <t>Zysk z tytułu rozchodu aktywów finansowych, w tym:</t>
  </si>
  <si>
    <t>Gain on disposal of financial assets</t>
  </si>
  <si>
    <t>Aktualizacja wartości aktywów finansowych</t>
  </si>
  <si>
    <t>Gain on revaluation of financial assets</t>
  </si>
  <si>
    <t>Inne</t>
  </si>
  <si>
    <t>Other</t>
  </si>
  <si>
    <t>H.</t>
  </si>
  <si>
    <t>Koszty finansowe</t>
  </si>
  <si>
    <t>Financial expenses</t>
  </si>
  <si>
    <t>dla jednostek powiązanych</t>
  </si>
  <si>
    <t>to realted entities</t>
  </si>
  <si>
    <t>Strata z tytułu rozchodu aktywów finansowych, w tym:</t>
  </si>
  <si>
    <t>Loss on disposal of financial assets</t>
  </si>
  <si>
    <t>Loss on revaluation of financial assets</t>
  </si>
  <si>
    <t>ZYSK (STRATA) BRUTTO</t>
  </si>
  <si>
    <t>GROSS PROFIT (LOSS)</t>
  </si>
  <si>
    <t>J.</t>
  </si>
  <si>
    <t>Podatek dochodowy</t>
  </si>
  <si>
    <t>Income tax</t>
  </si>
  <si>
    <t>K.</t>
  </si>
  <si>
    <t>Pozostałe obowiązkowe zmniejszenia zysku</t>
  </si>
  <si>
    <t>L.</t>
  </si>
  <si>
    <t>ZYSK (STRATA) NETTO</t>
  </si>
  <si>
    <t>NET PROFIT (LOSS)</t>
  </si>
  <si>
    <t>RACHUNEK PRZEPŁYWÓW PIENIĘŻNYCH</t>
  </si>
  <si>
    <t>CASH FLOW STATEMENT</t>
  </si>
  <si>
    <t>PLN</t>
  </si>
  <si>
    <t>PRZEPŁYWY PIENIĘŻNE Z DZIAŁALNOŚCI OPERACYJNEJ</t>
  </si>
  <si>
    <t>CASH FLOW FROM OPERATING ACTIVITIES</t>
  </si>
  <si>
    <t>Net profit</t>
  </si>
  <si>
    <t>Korekty razem</t>
  </si>
  <si>
    <t>Total adjustments</t>
  </si>
  <si>
    <t>Depretiation and amortisation</t>
  </si>
  <si>
    <t>Zyski (straty) z tytułu różnic kursowych</t>
  </si>
  <si>
    <t>Exchange gains (losses)</t>
  </si>
  <si>
    <t>Odsetki i udziały w zyskach (dywidendy)</t>
  </si>
  <si>
    <t>Interest and dividends</t>
  </si>
  <si>
    <t>Zysk (strata) z działalności inwestycyjnej</t>
  </si>
  <si>
    <t>Gain on investing activities</t>
  </si>
  <si>
    <t>Zmiana stanu rezerw</t>
  </si>
  <si>
    <t xml:space="preserve">Change in provisions </t>
  </si>
  <si>
    <t>6.</t>
  </si>
  <si>
    <t>Zmiana stanu zapasów</t>
  </si>
  <si>
    <t>Change in inventories</t>
  </si>
  <si>
    <t>7.</t>
  </si>
  <si>
    <t>Zmiana stanu należności</t>
  </si>
  <si>
    <t>Change in receivables</t>
  </si>
  <si>
    <t>8.</t>
  </si>
  <si>
    <t>Zmiana stanu zobowiązań krótkoterminowych (bez kredytów)</t>
  </si>
  <si>
    <t>Change in short-term liabilities (excl. loans)</t>
  </si>
  <si>
    <t>9.</t>
  </si>
  <si>
    <t>Zmiana stanu rozliczeń międzyokresowych</t>
  </si>
  <si>
    <t>Change in prepayments and accruals</t>
  </si>
  <si>
    <t>10.</t>
  </si>
  <si>
    <t>Inne korekty</t>
  </si>
  <si>
    <t>Other adjustments</t>
  </si>
  <si>
    <t>Przepływy pieniężne netto z działalności operacyjnej</t>
  </si>
  <si>
    <t>Net cash flow from operating activities</t>
  </si>
  <si>
    <t>PRZEPŁYWY PIENIĘŻNE Z DZIAŁALNOŚCI INWESTYCYJNEJ</t>
  </si>
  <si>
    <t>CASH FLOW FROM INVESTING ACTIVITIES</t>
  </si>
  <si>
    <t>Wpływy</t>
  </si>
  <si>
    <t>Inflows</t>
  </si>
  <si>
    <t>Zbycie WNiP oraz rzeczowych aktywów trwałych</t>
  </si>
  <si>
    <t>Disposal of intangibles and tangible assets</t>
  </si>
  <si>
    <t>Zbycie inwestycji w nieruchomości oraz WNiP</t>
  </si>
  <si>
    <t>Disposal of real estate and intangibles' investments</t>
  </si>
  <si>
    <t>Z aktywów finansowych, w tym:</t>
  </si>
  <si>
    <t>On financial assets</t>
  </si>
  <si>
    <t>zbycie aktywów finansowych</t>
  </si>
  <si>
    <t>disposal of financial assets</t>
  </si>
  <si>
    <t>dywidendy i udziały w zyskach</t>
  </si>
  <si>
    <t>dividends</t>
  </si>
  <si>
    <t>spłata udzielonych pożyczek długoterminowych</t>
  </si>
  <si>
    <t>repayments of loans granted</t>
  </si>
  <si>
    <t>odsetki</t>
  </si>
  <si>
    <t xml:space="preserve">interest  </t>
  </si>
  <si>
    <t>inne wpływy z aktywów finansowych</t>
  </si>
  <si>
    <t>other inflows from financial assets</t>
  </si>
  <si>
    <t>Inne wpływy inwestycyjne</t>
  </si>
  <si>
    <t>Other inflows from investing activities</t>
  </si>
  <si>
    <t>Wydatki</t>
  </si>
  <si>
    <t>Outflows</t>
  </si>
  <si>
    <t>Nabycie WNiP oraz rzeczowych aktywów trwałych</t>
  </si>
  <si>
    <t>Purchase of intangibles and tangible assets</t>
  </si>
  <si>
    <t>Inwestycje w nieruchomości oraz WNiP</t>
  </si>
  <si>
    <t>Real estate and intangibles investments</t>
  </si>
  <si>
    <t>Na aktywa finansowe, w tym:</t>
  </si>
  <si>
    <t>nabycie aktywów finansowych</t>
  </si>
  <si>
    <t>Purchase of financial assets</t>
  </si>
  <si>
    <t>udzielone pożyczki długoterminowe</t>
  </si>
  <si>
    <t>Loans granted</t>
  </si>
  <si>
    <t>Inne wydatki inwestycyjne</t>
  </si>
  <si>
    <t>Other outflows from investing activities</t>
  </si>
  <si>
    <t>Przepływy pieniężne netto z działalności inwestycyjnej</t>
  </si>
  <si>
    <t>Net cash flow from investing activities</t>
  </si>
  <si>
    <t>PRZEPŁYWY PIENIĘŻNE Z DZIAŁALNOŚCI FINANSOWEJ</t>
  </si>
  <si>
    <t>CASH FLOW FROM FINANCIAL ACTIVITIES</t>
  </si>
  <si>
    <t>Emisja akcji (innych instrumentów) oraz dopłaty do kapitału</t>
  </si>
  <si>
    <t>Issuance of shares and other increase of capital</t>
  </si>
  <si>
    <t>Kredyty i Leasingi</t>
  </si>
  <si>
    <t>Loans/Leasing</t>
  </si>
  <si>
    <t>Emisja dłużnych papierów wartościowych</t>
  </si>
  <si>
    <t>Issuance of debt securities</t>
  </si>
  <si>
    <t>Inne wpływy finansowe</t>
  </si>
  <si>
    <t>Other inflows from financial activities</t>
  </si>
  <si>
    <t>Nabycie udziałów (akcji) własnych</t>
  </si>
  <si>
    <t>Purchase of own shares</t>
  </si>
  <si>
    <t>Dywidendy i inne wypłaty na rzecz właścicieli</t>
  </si>
  <si>
    <t>Inne, niż wypłaty na rzecz właścicieli, wydatki z tytułu podziału zysku</t>
  </si>
  <si>
    <t>Other payments to shareholders</t>
  </si>
  <si>
    <t>Spłaty kredytów i pożyczek</t>
  </si>
  <si>
    <t>Repayment of loans</t>
  </si>
  <si>
    <t>Wykup dłużnych papierów wartościowych</t>
  </si>
  <si>
    <t>Redemption of debt decurities</t>
  </si>
  <si>
    <t>Z tytułu innych zobowiązań finansowych</t>
  </si>
  <si>
    <t>Payment of other financial liabilities</t>
  </si>
  <si>
    <t>Płatności zobowiązań z tytułu umów leasingu finansowego</t>
  </si>
  <si>
    <t>Payments of financial lease liabilities</t>
  </si>
  <si>
    <t>Odsetki</t>
  </si>
  <si>
    <t>Inne wydatki finansowe</t>
  </si>
  <si>
    <t>Other outflows from financial activities</t>
  </si>
  <si>
    <t>Przepływy pieniężne netto z działalności finansowej</t>
  </si>
  <si>
    <t>Net cash flow from financial activities</t>
  </si>
  <si>
    <t>PRZEPŁYWY PIENIĘŻNE RAZEM</t>
  </si>
  <si>
    <t>TOTAL CASH FLOW</t>
  </si>
  <si>
    <t>Bilansowa zmiana stanu środków pieniężnych, w tym:</t>
  </si>
  <si>
    <t>Change in cash and equivalent (balance sheet)</t>
  </si>
  <si>
    <t>zmiana stanu środków pieniężnych z tytułu różnic kursowych</t>
  </si>
  <si>
    <t xml:space="preserve">change in cashe due to exchange </t>
  </si>
  <si>
    <t>Środki pieniężne na początek okresu</t>
  </si>
  <si>
    <t>Cash opening balance</t>
  </si>
  <si>
    <t>Środki pieniężne na koniec okresu (F±D), w tym:</t>
  </si>
  <si>
    <t>Cash closing balance</t>
  </si>
  <si>
    <t>o ograniczonej możliwości dysponowania</t>
  </si>
  <si>
    <t>KAPITAŁ OBROTOWY NETTO</t>
  </si>
  <si>
    <t>NET WORKING CAPITAL</t>
  </si>
  <si>
    <t>Kapitał obrotowy netto (PLN)</t>
  </si>
  <si>
    <t xml:space="preserve">Net working capital </t>
  </si>
  <si>
    <t>Przychody netto ze sprzedaży produktów, towarów i materiałów</t>
  </si>
  <si>
    <t>Net revenue from sales of products, goods and materials</t>
  </si>
  <si>
    <t>Koszty działalności operacyjnej</t>
  </si>
  <si>
    <t>Operating expenses</t>
  </si>
  <si>
    <t xml:space="preserve">Zapasy </t>
  </si>
  <si>
    <t>Należności handlowe</t>
  </si>
  <si>
    <t>Trade receivables</t>
  </si>
  <si>
    <t>Zobowiązania handlowe</t>
  </si>
  <si>
    <t>Trade liabilities</t>
  </si>
  <si>
    <t>Kapitał obrotowy netto</t>
  </si>
  <si>
    <t>Net working capital</t>
  </si>
  <si>
    <t>CASH FLOW</t>
  </si>
  <si>
    <t>Zmiana w KON</t>
  </si>
  <si>
    <t>Change in WC</t>
  </si>
  <si>
    <t>Przeciętny stan</t>
  </si>
  <si>
    <t xml:space="preserve">Average </t>
  </si>
  <si>
    <t>Dni rotacji</t>
  </si>
  <si>
    <t>Turnover in days</t>
  </si>
  <si>
    <t>Liczba dni w okresie</t>
  </si>
  <si>
    <t>No. Days</t>
  </si>
  <si>
    <t>Cykl konwersji gotówki</t>
  </si>
  <si>
    <t>Cash conversion cycle</t>
  </si>
  <si>
    <t>Zapasy - struktura</t>
  </si>
  <si>
    <t>Inventories - structure</t>
  </si>
  <si>
    <t>RAZEM Zapasy</t>
  </si>
  <si>
    <t>TOTAL Inventories</t>
  </si>
  <si>
    <t>&lt;= hidden column with English translation</t>
  </si>
  <si>
    <t>Amortyzacja i CAPEX</t>
  </si>
  <si>
    <t>D&amp;A and CAPEX</t>
  </si>
  <si>
    <t xml:space="preserve">plants, properties and buildings </t>
  </si>
  <si>
    <t xml:space="preserve">other tangible assets </t>
  </si>
  <si>
    <t>Stawki amortyzacji</t>
  </si>
  <si>
    <t>Depretiation &amp; amortisation rates</t>
  </si>
  <si>
    <t>Depretiation &amp; amortisation</t>
  </si>
  <si>
    <t>RAZEM Amortyzacja</t>
  </si>
  <si>
    <t>TOTAL Depretiation &amp; amortisation</t>
  </si>
  <si>
    <t xml:space="preserve">   % przychodów</t>
  </si>
  <si>
    <t xml:space="preserve">   % revenues</t>
  </si>
  <si>
    <t>CAPEX</t>
  </si>
  <si>
    <t>RAZEM CAPEX</t>
  </si>
  <si>
    <t>TOTAL CAPEX</t>
  </si>
  <si>
    <t>Tabele amortyzacyjne</t>
  </si>
  <si>
    <t>D&amp;A tables</t>
  </si>
  <si>
    <t>Pozycja (stan na koniec okresu)</t>
  </si>
  <si>
    <t xml:space="preserve">Position </t>
  </si>
  <si>
    <t>Bilans otwarcia</t>
  </si>
  <si>
    <t>Opening balance</t>
  </si>
  <si>
    <t>D&amp;A</t>
  </si>
  <si>
    <t>Bilans zamknięcia</t>
  </si>
  <si>
    <t>Closing balance (CB)</t>
  </si>
  <si>
    <t>Grunty (w tym prawo użytkowania wieczystego gruntu)</t>
  </si>
  <si>
    <t>Land (including right to perpetual usufruct)</t>
  </si>
  <si>
    <t>Budynki, lokale, prawa do lokali i inne obiekty</t>
  </si>
  <si>
    <t xml:space="preserve">Plants, properties and buildings </t>
  </si>
  <si>
    <t>Urządzenia techniczne i maszyny</t>
  </si>
  <si>
    <t>Equipment and machinery</t>
  </si>
  <si>
    <t>Środki transportu</t>
  </si>
  <si>
    <t>Vehicles</t>
  </si>
  <si>
    <t>Inne środki trwałe</t>
  </si>
  <si>
    <t xml:space="preserve">Other tangible assets </t>
  </si>
  <si>
    <t xml:space="preserve">IQ </t>
  </si>
  <si>
    <t>IIQ</t>
  </si>
  <si>
    <t>IIIQ</t>
  </si>
  <si>
    <t>IVQ</t>
  </si>
  <si>
    <t>GPU  Power</t>
  </si>
  <si>
    <t>Software</t>
  </si>
  <si>
    <t>Cloud Services</t>
  </si>
  <si>
    <t>Incomes (quarterly)</t>
  </si>
  <si>
    <t>Incomes Total</t>
  </si>
  <si>
    <t>GPU Power</t>
  </si>
  <si>
    <t>Av. Value</t>
  </si>
  <si>
    <t xml:space="preserve">Software </t>
  </si>
  <si>
    <t>Avarage per client</t>
  </si>
  <si>
    <t>Total sale</t>
  </si>
  <si>
    <t>Cloud services</t>
  </si>
  <si>
    <t>No of clients</t>
  </si>
  <si>
    <t>Amortisation</t>
  </si>
  <si>
    <t>Rental &amp; external Services</t>
  </si>
  <si>
    <t>Taxes</t>
  </si>
  <si>
    <t>SSC</t>
  </si>
  <si>
    <t>Other costs</t>
  </si>
  <si>
    <t>Direct cost of sale</t>
  </si>
  <si>
    <t>Overall costs (per year)</t>
  </si>
  <si>
    <t>Increase Y/Y</t>
  </si>
  <si>
    <t>1.Payroll costs</t>
  </si>
  <si>
    <t>Plant 1</t>
  </si>
  <si>
    <t>Employees</t>
  </si>
  <si>
    <t>Services - outsourcing</t>
  </si>
  <si>
    <t>Travel costs</t>
  </si>
  <si>
    <t>SUMA</t>
  </si>
  <si>
    <t>2. Rental costs</t>
  </si>
  <si>
    <t>3.Direct costs of plant</t>
  </si>
  <si>
    <t>IT &amp; telecom</t>
  </si>
  <si>
    <t>Power</t>
  </si>
  <si>
    <t>Direct expenditures</t>
  </si>
  <si>
    <t>Fixtures</t>
  </si>
  <si>
    <t xml:space="preserve">Security </t>
  </si>
  <si>
    <t>Increase of costs</t>
  </si>
  <si>
    <t>wzrost kosztów utrzymania jednostki</t>
  </si>
  <si>
    <t>4. Direct cost for GPU</t>
  </si>
  <si>
    <t>Increase of direct costs</t>
  </si>
  <si>
    <t>5. RE TAX</t>
  </si>
  <si>
    <t>Other taxes</t>
  </si>
  <si>
    <t>RET</t>
  </si>
  <si>
    <t>5. Marketing &amp; Advertising</t>
  </si>
  <si>
    <t>Avarage cost</t>
  </si>
  <si>
    <t>Marketing &amp; Advertising</t>
  </si>
  <si>
    <t>6. Other costs</t>
  </si>
  <si>
    <t>Accounting services</t>
  </si>
  <si>
    <t>Legal Fees</t>
  </si>
  <si>
    <t>Other expences</t>
  </si>
  <si>
    <t>6. Direct cost for other services</t>
  </si>
  <si>
    <t>Direct costs for other services</t>
  </si>
  <si>
    <t>7. Social security contribution</t>
  </si>
  <si>
    <t>SSC ration in costs of staff</t>
  </si>
  <si>
    <t>Social security contribution</t>
  </si>
  <si>
    <t>8. Management costs</t>
  </si>
  <si>
    <t>Directors</t>
  </si>
  <si>
    <t>Managers</t>
  </si>
  <si>
    <t>Increase</t>
  </si>
  <si>
    <t>Managment costs</t>
  </si>
  <si>
    <t>9. Maitanance costs for Assets</t>
  </si>
  <si>
    <t>Maitanance costs for assets</t>
  </si>
  <si>
    <t>Credits</t>
  </si>
  <si>
    <t>stan na 31.12.2026</t>
  </si>
  <si>
    <t>Spłata</t>
  </si>
  <si>
    <t>stan na 31.12.2028</t>
  </si>
  <si>
    <t>Total</t>
  </si>
  <si>
    <t xml:space="preserve">Leasing </t>
  </si>
  <si>
    <t>XXXX</t>
  </si>
  <si>
    <t>Q/Q</t>
  </si>
  <si>
    <t>Y/Y</t>
  </si>
  <si>
    <t>Left to be paid</t>
  </si>
  <si>
    <t>Leasing - intrests</t>
  </si>
  <si>
    <t>Leadership (Leads + PM)</t>
  </si>
  <si>
    <t>Core Engineering (SRE, Net, Sec, MLOps)</t>
  </si>
  <si>
    <t>On-Site Team</t>
  </si>
  <si>
    <t>ALL</t>
  </si>
  <si>
    <t>Insurance</t>
  </si>
  <si>
    <t>Year</t>
  </si>
  <si>
    <t>Opening Balance (USD)</t>
  </si>
  <si>
    <t>Interest (USD)</t>
  </si>
  <si>
    <t>Principal Repayment (USD)</t>
  </si>
  <si>
    <t>Yearly Payment (USD)</t>
  </si>
  <si>
    <t>Closing Balance (USD)</t>
  </si>
  <si>
    <t>IRR</t>
  </si>
  <si>
    <t>EBTA</t>
  </si>
  <si>
    <t xml:space="preserve"> EBITDA margin</t>
  </si>
  <si>
    <t>Cathegory</t>
  </si>
  <si>
    <t>No.</t>
  </si>
  <si>
    <t>Monthly cost</t>
  </si>
  <si>
    <t>Yearly cost</t>
  </si>
  <si>
    <t>RET TAX - exclusion for 7Y</t>
  </si>
  <si>
    <t>Variances</t>
  </si>
  <si>
    <t>GPUs</t>
  </si>
  <si>
    <t xml:space="preserve">Costs </t>
  </si>
  <si>
    <t>Incomes</t>
  </si>
  <si>
    <t>Costs</t>
  </si>
  <si>
    <t>ROI</t>
  </si>
  <si>
    <t>Other mandatory reductions of profit (TAX RELIEF)</t>
  </si>
  <si>
    <t>EBIDTA</t>
  </si>
  <si>
    <t xml:space="preserve"> EBTA margin</t>
  </si>
  <si>
    <t>per month</t>
  </si>
  <si>
    <t>BEP in month</t>
  </si>
  <si>
    <t>Inflation</t>
  </si>
  <si>
    <t>Price</t>
  </si>
  <si>
    <t>Total capacity per day</t>
  </si>
  <si>
    <t>nr of days available</t>
  </si>
  <si>
    <t>Maximum Sale</t>
  </si>
  <si>
    <t>GPU usage %</t>
  </si>
  <si>
    <t>energy usage in MWh</t>
  </si>
  <si>
    <t>financing in %</t>
  </si>
  <si>
    <t>energy cost  per MWh</t>
  </si>
  <si>
    <t>price</t>
  </si>
  <si>
    <t>Return in sales</t>
  </si>
  <si>
    <t>EBITDA Margin</t>
  </si>
  <si>
    <t>tax</t>
  </si>
  <si>
    <t>tax relief</t>
  </si>
  <si>
    <t>Sales Margin</t>
  </si>
  <si>
    <t>Net Profit</t>
  </si>
  <si>
    <t>ROS</t>
  </si>
  <si>
    <t>Interests</t>
  </si>
  <si>
    <t>accountant</t>
  </si>
  <si>
    <t>legal</t>
  </si>
  <si>
    <t>hours available</t>
  </si>
  <si>
    <t>usage MW</t>
  </si>
  <si>
    <t>Fees, taxes, excise</t>
  </si>
  <si>
    <t>Depreciation and amortisation</t>
  </si>
  <si>
    <t>Social security, pensions, benefits</t>
  </si>
  <si>
    <t>Vera Rubin</t>
  </si>
  <si>
    <t>Digital Realty (DLR)</t>
  </si>
  <si>
    <t>Equinix (EQIX)</t>
  </si>
  <si>
    <t>Av. Remuneration (with no SSC)</t>
  </si>
  <si>
    <t>CTO, CFO, CEO</t>
  </si>
  <si>
    <t>tax base</t>
  </si>
  <si>
    <t xml:space="preserve">źródło: </t>
  </si>
  <si>
    <t>https://alterland-my.sharepoint.com/personal/krzysztof_wisniewski_alterland_io/Documents/Inwestycja_foldery/analiza%20rynku%20DC/DC%20-%20salaries.html</t>
  </si>
  <si>
    <t>prices per GPU</t>
  </si>
  <si>
    <t>60m</t>
  </si>
  <si>
    <t>DCF ANALYSIS - Discounted Cash Flow</t>
  </si>
  <si>
    <t>ASSUMPTIONS</t>
  </si>
  <si>
    <t>Discount Rate (WACC)</t>
  </si>
  <si>
    <t>← Input</t>
  </si>
  <si>
    <t>Terminal Growth Rate</t>
  </si>
  <si>
    <t>Cost of Debt</t>
  </si>
  <si>
    <t>Initial Equity Investment</t>
  </si>
  <si>
    <t>USD</t>
  </si>
  <si>
    <t>Initial Debt</t>
  </si>
  <si>
    <t>Total Investment</t>
  </si>
  <si>
    <t>UNLEVERED FREE CASH FLOW (UFCF)</t>
  </si>
  <si>
    <t>Terminal</t>
  </si>
  <si>
    <t>Calendar Year</t>
  </si>
  <si>
    <t>(-) D&amp;A</t>
  </si>
  <si>
    <t>EBIT</t>
  </si>
  <si>
    <t>NOPAT</t>
  </si>
  <si>
    <t>(+) D&amp;A</t>
  </si>
  <si>
    <t>(-) CapEx</t>
  </si>
  <si>
    <t>(-) Δ Working Capital</t>
  </si>
  <si>
    <t>Unlevered FCF</t>
  </si>
  <si>
    <t>DCF VALUATION</t>
  </si>
  <si>
    <t>Discount Factor</t>
  </si>
  <si>
    <t>PV of Cash Flows</t>
  </si>
  <si>
    <t>VALUATION SUMMARY</t>
  </si>
  <si>
    <t>PV of Forecast Period FCF</t>
  </si>
  <si>
    <t>PV of Terminal Value</t>
  </si>
  <si>
    <t>Enterprise Value</t>
  </si>
  <si>
    <t>(-) Net Debt (Year 0)</t>
  </si>
  <si>
    <t>Equity Value</t>
  </si>
  <si>
    <t>Value vs Investment</t>
  </si>
  <si>
    <t>multiple of equity invested</t>
  </si>
  <si>
    <t>IRR ANALYSIS - Unlevered &amp; Levered</t>
  </si>
  <si>
    <t>INVESTMENT STRUCTURE</t>
  </si>
  <si>
    <t>Equity Investment</t>
  </si>
  <si>
    <t>Debt Financing</t>
  </si>
  <si>
    <t>Debt / Total</t>
  </si>
  <si>
    <t>UNLEVERED IRR (Project IRR)</t>
  </si>
  <si>
    <t>Cumulative Unlevered FCF</t>
  </si>
  <si>
    <t>Unlevered IRR</t>
  </si>
  <si>
    <t>← Project return without financing effects</t>
  </si>
  <si>
    <t>LEVERED IRR (Equity IRR)</t>
  </si>
  <si>
    <t>(+) Debt Proceeds</t>
  </si>
  <si>
    <t>(-) Debt Principal Repayment</t>
  </si>
  <si>
    <t>(-) Interest Expense</t>
  </si>
  <si>
    <t>(+) Interest Tax Shield (19%)</t>
  </si>
  <si>
    <t>Levered FCF (to Equity)</t>
  </si>
  <si>
    <t>Cumulative Levered FCF</t>
  </si>
  <si>
    <t>Levered IRR (Equity IRR)</t>
  </si>
  <si>
    <t>← Return to equity investors</t>
  </si>
  <si>
    <t>IRR COMPARISON</t>
  </si>
  <si>
    <t>Unlevered IRR (Project)</t>
  </si>
  <si>
    <t>Return on total capital invested</t>
  </si>
  <si>
    <t>Levered IRR (Equity)</t>
  </si>
  <si>
    <t>Return on equity capital</t>
  </si>
  <si>
    <t>IRR Spread (Leverage Effect)</t>
  </si>
  <si>
    <t>Benefit from leverage</t>
  </si>
  <si>
    <t>INTERPRETATION</t>
  </si>
  <si>
    <t>• Unlevered IRR shows project profitability independent of financing</t>
  </si>
  <si>
    <t>• Levered IRR shows return to equity holders after debt service</t>
  </si>
  <si>
    <t>• Positive spread indicates leverage is accretive to equity returns</t>
  </si>
  <si>
    <t>• Compare Levered IRR to cost of equity; Unlevered IRR to WACC</t>
  </si>
  <si>
    <t>NPV SENSITIVITY ANALYSIS</t>
  </si>
  <si>
    <t>CASH FLOWS FOR NPV CALCULATION</t>
  </si>
  <si>
    <t>Levered FCF</t>
  </si>
  <si>
    <t>NPV AT DIFFERENT DISCOUNT RATES - UNLEVERED</t>
  </si>
  <si>
    <t>Discount Rate</t>
  </si>
  <si>
    <t>NPV (USD)</t>
  </si>
  <si>
    <t>Status</t>
  </si>
  <si>
    <t>← Base case WACC</t>
  </si>
  <si>
    <t>NPV AT DIFFERENT DISCOUNT RATES - LEVERED (Equity)</t>
  </si>
  <si>
    <t>Discount Rate (CoE)</t>
  </si>
  <si>
    <t>← Typical Cost of Equity</t>
  </si>
  <si>
    <t>BREAK-EVEN ANALYSIS</t>
  </si>
  <si>
    <t>Break-even Discount Rate (Unlevered IRR)</t>
  </si>
  <si>
    <t>← NPV = 0 at this rate</t>
  </si>
  <si>
    <t>Break-even Discount Rate (Levered IRR)</t>
  </si>
  <si>
    <t>INVESTMENT METRICS</t>
  </si>
  <si>
    <t>INVESTMENT SUMMARY</t>
  </si>
  <si>
    <t>CASH FLOW SUMMARY</t>
  </si>
  <si>
    <t>TOTAL</t>
  </si>
  <si>
    <t>Cumulative Unlevered</t>
  </si>
  <si>
    <t>Cumulative Levered</t>
  </si>
  <si>
    <t>MOIC - MULTIPLE ON INVESTED CAPITAL</t>
  </si>
  <si>
    <t>MOIC Unlevered (Total Capital)</t>
  </si>
  <si>
    <t>Total Cash Outflow (Investment)</t>
  </si>
  <si>
    <t>Total Cash Inflow (Returns)</t>
  </si>
  <si>
    <t>MOIC (Unlevered)</t>
  </si>
  <si>
    <t>← Total returns / Total invested</t>
  </si>
  <si>
    <t>MOIC Levered (Equity Only)</t>
  </si>
  <si>
    <t>Total Cash to Equity</t>
  </si>
  <si>
    <t>MOIC (Levered/Equity)</t>
  </si>
  <si>
    <t>← Returns to equity / Equity invested</t>
  </si>
  <si>
    <t>CASH-ON-CASH RETURN</t>
  </si>
  <si>
    <t>Average</t>
  </si>
  <si>
    <t>Annual Levered CF</t>
  </si>
  <si>
    <t>Cash-on-Cash Return</t>
  </si>
  <si>
    <t>PAYBACK PERIOD</t>
  </si>
  <si>
    <t>Unlevered Payback Analysis</t>
  </si>
  <si>
    <t>Initial Investment</t>
  </si>
  <si>
    <t>Payback Status</t>
  </si>
  <si>
    <t>Unlevered Payback Period</t>
  </si>
  <si>
    <t>years (approx)</t>
  </si>
  <si>
    <t>Levered Payback Analysis (Equity)</t>
  </si>
  <si>
    <t>Levered Payback Period</t>
  </si>
  <si>
    <t>TERMINAL VALUE / EXIT VALUE ESTIMATION</t>
  </si>
  <si>
    <t>Method 1: EV/EBITDA Exit Multiple</t>
  </si>
  <si>
    <t>Exit Multiple (EV/EBITDA)</t>
  </si>
  <si>
    <t>← Input (Data centers: 10-15x)</t>
  </si>
  <si>
    <t>Enterprise Value at Exit</t>
  </si>
  <si>
    <t>(-) Net Debt at Exit (2031)</t>
  </si>
  <si>
    <t>(debt fully repaid)</t>
  </si>
  <si>
    <t>Equity Value at Exit (Method 1)</t>
  </si>
  <si>
    <t>Method 2: Gordon Growth Model (Perpetuity)</t>
  </si>
  <si>
    <t>Terminal FCF (Year 5)</t>
  </si>
  <si>
    <t>(same as above)</t>
  </si>
  <si>
    <t>Terminal Value (Gordon Growth)</t>
  </si>
  <si>
    <t>SELECTED EXIT VALUE FOR MODEL</t>
  </si>
  <si>
    <t>Exit Value Method</t>
  </si>
  <si>
    <t>EBITDA Multiple</t>
  </si>
  <si>
    <t>← Select method</t>
  </si>
  <si>
    <t>Exit Value (End of 2031)</t>
  </si>
  <si>
    <t>(+) Tax Relief</t>
  </si>
  <si>
    <t>BASE CASE SCENARIO - Realistic GPU utilization (70%→80%→90%)</t>
  </si>
  <si>
    <t>Assumptions</t>
  </si>
  <si>
    <t>MODEL DOCUMENTATION &amp; SESSION LOG</t>
  </si>
  <si>
    <t>File: Fin.Model_v5_3^LJ50_USD_6.0_add.variation analysis_1_VeraRubin_vAmir.xlsx</t>
  </si>
  <si>
    <t>1. MODEL OVERVIEW</t>
  </si>
  <si>
    <t>Project:</t>
  </si>
  <si>
    <t>GPU Data Center Investment (Vera Rubin architecture)</t>
  </si>
  <si>
    <t>Location:</t>
  </si>
  <si>
    <t>Poland</t>
  </si>
  <si>
    <t>Currency:</t>
  </si>
  <si>
    <t>USD (primary), PLN for local costs</t>
  </si>
  <si>
    <t>Projection Period:</t>
  </si>
  <si>
    <t>2026–2031 (Year 0 through Year 5)</t>
  </si>
  <si>
    <t>Total Investment:</t>
  </si>
  <si>
    <t>$4.27B ($1.2B equity + $3.07B debt)</t>
  </si>
  <si>
    <t>GPU Configuration:</t>
  </si>
  <si>
    <t>Vera Rubin @ $6M/unit (with 20% volume discount)</t>
  </si>
  <si>
    <t>Facility:</t>
  </si>
  <si>
    <t>112MW nominal capacity, 130 PLN/MWh electricity</t>
  </si>
  <si>
    <t>Financing:</t>
  </si>
  <si>
    <t>6% cost of debt, 5-year straight-line repayment (20%/year)</t>
  </si>
  <si>
    <t>2. SHEET-BY-SHEET GUIDE</t>
  </si>
  <si>
    <t>Sheet</t>
  </si>
  <si>
    <t>Purpose</t>
  </si>
  <si>
    <t>Scenario</t>
  </si>
  <si>
    <t>GPU pricing (GB200/GB300/Vera Rubin), electricity benchmarks, cost of debt comps (DLR, EQIX, etc.)</t>
  </si>
  <si>
    <t>N/A (inputs)</t>
  </si>
  <si>
    <t>✅ Complete</t>
  </si>
  <si>
    <t>Analysis</t>
  </si>
  <si>
    <t>Base case scenario: incomes, costs, EBITDA, net profit, ROI, ROS. Includes debt schedule &amp; energy cost calculations.</t>
  </si>
  <si>
    <t>Base (70%→80%→90%)</t>
  </si>
  <si>
    <t>DCF Analysis</t>
  </si>
  <si>
    <t>Discounted cash flow: UFCF, discount factors, PV, enterprise value, equity value. Includes terminal value via Gordon Growth &amp; EBITDA multiple.</t>
  </si>
  <si>
    <t>Base case</t>
  </si>
  <si>
    <t>IRR Analysis</t>
  </si>
  <si>
    <t>Unlevered IRR (project) &amp; Levered IRR (equity). Includes debt proceeds, repayment, interest, tax shield.</t>
  </si>
  <si>
    <t>NPV Sensitivity</t>
  </si>
  <si>
    <t>NPV at multiple discount rates for both unlevered &amp; levered FCF. Break-even discount rates.</t>
  </si>
  <si>
    <t>Investment Metrics</t>
  </si>
  <si>
    <t>MOIC (unlevered &amp; levered), cash-on-cash return, payback period analysis.</t>
  </si>
  <si>
    <t>P&amp;L</t>
  </si>
  <si>
    <t>Full Polish-format profit &amp; loss statement (Rachunek Zysków i Strat). Bilingual PL/EN.</t>
  </si>
  <si>
    <t>CF</t>
  </si>
  <si>
    <t>Full cash flow statement: operating, investing, financing activities. BEP = 60 months.</t>
  </si>
  <si>
    <t>BS</t>
  </si>
  <si>
    <t>Full balance sheet (Bilans). Assets = Equity + Liabilities (balanced, check row = 0).</t>
  </si>
  <si>
    <t>NWC</t>
  </si>
  <si>
    <t>Net working capital calculations (receivables, payables, inventory).</t>
  </si>
  <si>
    <t>—</t>
  </si>
  <si>
    <t>D&amp;A CAPEX</t>
  </si>
  <si>
    <t>Depreciation &amp; amortization schedules, capital expenditure breakdown.</t>
  </si>
  <si>
    <t>Detailed revenue build-up (GPU capacity × price × utilization × days).</t>
  </si>
  <si>
    <t>Detailed cost breakdown: energy, payroll, services, taxes, other.</t>
  </si>
  <si>
    <t>Financing</t>
  </si>
  <si>
    <t>Loan structure, interest schedule, principal repayment timeline.</t>
  </si>
  <si>
    <t>staff</t>
  </si>
  <si>
    <t>Headcount and payroll assumptions.</t>
  </si>
  <si>
    <t>Leasing</t>
  </si>
  <si>
    <t>Lease obligations and terms.</t>
  </si>
  <si>
    <t>3. KEY ASSUMPTIONS &amp; PARAMETERS</t>
  </si>
  <si>
    <t>Parameter</t>
  </si>
  <si>
    <t>Value</t>
  </si>
  <si>
    <t>Notes</t>
  </si>
  <si>
    <t>GPU Model</t>
  </si>
  <si>
    <t>Nominal price $6M/unit</t>
  </si>
  <si>
    <t>Volume Discount</t>
  </si>
  <si>
    <t>Applied to GPU purchase price</t>
  </si>
  <si>
    <t>GPU Price/hr</t>
  </si>
  <si>
    <t>Base case; 5% annual price escalation assumed</t>
  </si>
  <si>
    <t>GPU Utilization (Base)</t>
  </si>
  <si>
    <t>70% → 80% → 90%</t>
  </si>
  <si>
    <t>Year 1→2→3+; ramp-up reflects market adoption</t>
  </si>
  <si>
    <t>GPU Utilization (Optimistic)</t>
  </si>
  <si>
    <t>Used in P&amp;L, BS, CF sheets</t>
  </si>
  <si>
    <t>Facility Capacity</t>
  </si>
  <si>
    <t>112 MW</t>
  </si>
  <si>
    <t>Nominal; 884,736 GPU-hours/day total capacity</t>
  </si>
  <si>
    <t>Electricity Price</t>
  </si>
  <si>
    <t>130 PLN/MWh</t>
  </si>
  <si>
    <t>Polish wholesale; no negotiation discount applied</t>
  </si>
  <si>
    <t>WACC</t>
  </si>
  <si>
    <t>Used for DCF discounting</t>
  </si>
  <si>
    <t>Gordon Growth Model perpetuity</t>
  </si>
  <si>
    <t>Exit Multiple</t>
  </si>
  <si>
    <t>10x EV/EBITDA</t>
  </si>
  <si>
    <t>Data center range: 10-15x</t>
  </si>
  <si>
    <t>Benchmarked vs DLR, EQIX, CyrusOne, Vantage, Euro-HPC</t>
  </si>
  <si>
    <t>Debt Structure</t>
  </si>
  <si>
    <t>$3.072B, 5yr straight-line</t>
  </si>
  <si>
    <t>20% principal/year, fully repaid by 2031</t>
  </si>
  <si>
    <t>Tax Rate</t>
  </si>
  <si>
    <t>Polish CIT rate</t>
  </si>
  <si>
    <t>Tax Relief</t>
  </si>
  <si>
    <t>3.8M PLN/year</t>
  </si>
  <si>
    <t>Applied years 1-5</t>
  </si>
  <si>
    <t>Depreciation</t>
  </si>
  <si>
    <t>Declining balance</t>
  </si>
  <si>
    <t>GPUs: 20%/yr; Buildings: 5%/yr; Land: not depreciated</t>
  </si>
  <si>
    <t>Metric</t>
  </si>
  <si>
    <t>Value vs. Equity Invested</t>
  </si>
  <si>
    <t>MOIC Unlevered</t>
  </si>
  <si>
    <t>MOIC Levered (Equity)</t>
  </si>
  <si>
    <t>Unlevered Payback</t>
  </si>
  <si>
    <t>Levered Payback</t>
  </si>
  <si>
    <t>EBITDA 2031 (Base)</t>
  </si>
  <si>
    <t>Net Profit 2031 (Base)</t>
  </si>
  <si>
    <t>5. IMPORTANT NOTES &amp; KNOWN ISSUES</t>
  </si>
  <si>
    <t>⚠️  P&amp;L, BS, and CF sheets use the OPTIMISTIC scenario (100% GPU utilization). The Analysis sheet and DCF/IRR sheets use realistic utilization (70%→80%→90%). Be aware of this discrepancy when reviewing.</t>
  </si>
  <si>
    <t>⚠️  Energy costs use real usage (90MW at utilization-adjusted levels in Analysis), but max load (130MW) in the nominal power cost calculation in Analysis rows 60-65.</t>
  </si>
  <si>
    <t>⚠️  The Analysis sheet has two energy cost sections: one nominal (130MW × 8,760 hrs) and one realistic (utilization-adjusted MW). The realistic version feeds into EBITDA.</t>
  </si>
  <si>
    <t>⚠️  Exit value in IRR/DCF uses EBITDA Multiple method (10x) by default. Gordon Growth Model terminal value ($11.58B) is calculated but not selected.</t>
  </si>
  <si>
    <t>⚠️  Electricity price of 130 PLN/MWh does not include negotiated wholesale discounts. Assumptions sheet notes avg. RDN at ~500 PLN/MWh but long-term contracts at ~415-459 PLN/MWh. The 130 PLN/MWh appears to be a target/negotiated rate.</t>
  </si>
  <si>
    <t>⚠️  Tax loss carryforward: negative tax base in 2026-2028 (base case) means no tax is paid until 2029. The model tracks cumulative tax losses.</t>
  </si>
  <si>
    <t>ℹ️  Cost of debt benchmarked against: Digital Realty (BBB), Equinix (BBB+), CyrusOne (HY), Vantage (HY), Euro-HPC Composite. 2025 avg = ~5.9%, model uses 6%.</t>
  </si>
  <si>
    <t>ℹ️  GPU pricing sources referenced from Investing.com (Polish) and Barron's articles on NVIDIA rack-scale systems.</t>
  </si>
  <si>
    <t>6. TO-DO / NEXT STEPS</t>
  </si>
  <si>
    <t>Item</t>
  </si>
  <si>
    <t>Description</t>
  </si>
  <si>
    <t>1. Variation Analysis</t>
  </si>
  <si>
    <t>Build Bull/Base/Bear scenarios varying GPU utilization, pricing, energy costs, exit multiples, and WACC. Compare NPV, IRR, MOIC across scenarios.</t>
  </si>
  <si>
    <t>❌ Not Started</t>
  </si>
  <si>
    <t>2. Sensitivity Tables</t>
  </si>
  <si>
    <t>2-way sensitivity: (a) WACC vs. Terminal Growth → NPV, (b) GPU Price vs. Utilization → EBITDA.</t>
  </si>
  <si>
    <t>3. Scenario Reconciliation</t>
  </si>
  <si>
    <t>Align P&amp;L/BS/CF sheets with base case (70%→80%→90%) instead of optimistic (100%). Or create separate tabs.</t>
  </si>
  <si>
    <t>4. Electricity Price Deep-Dive</t>
  </si>
  <si>
    <t>Resolve the 130 PLN/MWh assumption vs. market data (~415–500 PLN/MWh). Document rationale for the low rate.</t>
  </si>
  <si>
    <t>5. Charts / Visualizations</t>
  </si>
  <si>
    <t>Add charts for: EBITDA trend, cumulative FCF, NPV waterfall, IRR comparison, scenario comparison.</t>
  </si>
  <si>
    <t>6. Executive Summary</t>
  </si>
  <si>
    <t>Create a one-page summary sheet with key metrics, charts, and investment recommendation.</t>
  </si>
  <si>
    <t>7. Stress Test</t>
  </si>
  <si>
    <t>Model downside scenarios: GPU price collapse, energy price spike, delayed ramp-up, lower exit multiples.</t>
  </si>
  <si>
    <t>8. Formula Audit</t>
  </si>
  <si>
    <t>Full cross-check of all formulas, cell references, and circular dependency check.</t>
  </si>
  <si>
    <t>7. SESSION LOG</t>
  </si>
  <si>
    <t>Date</t>
  </si>
  <si>
    <t>Action</t>
  </si>
  <si>
    <t>Details</t>
  </si>
  <si>
    <t>Model review &amp; documentation</t>
  </si>
  <si>
    <t>Reviewed all 16 sheets. Documented model structure, key assumptions, outputs, known issues, and next steps. Created this Notes sheet.</t>
  </si>
  <si>
    <t>Proposed variation analysis</t>
  </si>
  <si>
    <t>Discussed building Bull/Base/Bear scenario analysis with sensitivity tables. User chose to create Notes sheet first before proceeding. Next session: start variation analysis.</t>
  </si>
  <si>
    <t>After each session, ask the AI to update the Session Log (Section 7) and To-Do status (Section 6).</t>
  </si>
  <si>
    <t>You can also add your own notes directly in this sheet — the AI will read them next time.</t>
  </si>
  <si>
    <t>9. BENCHMARKING: RACK PRICING ($6M ASSUMPTION)</t>
  </si>
  <si>
    <t>Note: NVIDIA does not publicly disclose rack pricing. All figures below are analyst/industry estimates.</t>
  </si>
  <si>
    <t>Research date: 7 March 2026</t>
  </si>
  <si>
    <t>System</t>
  </si>
  <si>
    <t>Estimated Price</t>
  </si>
  <si>
    <t>Source</t>
  </si>
  <si>
    <t>GB200 NVL72 (Blackwell)</t>
  </si>
  <si>
    <t>~$3.0M</t>
  </si>
  <si>
    <t>HSBC estimates (May 2024)</t>
  </si>
  <si>
    <t>Previous gen, widely cited benchmark</t>
  </si>
  <si>
    <t>GB300 NVL72 (Blackwell Ultra)</t>
  </si>
  <si>
    <t>$3.7M–$5M+</t>
  </si>
  <si>
    <t>Apple order reports (Computex 2025); LoveChip industry estimates</t>
  </si>
  <si>
    <t>50% more performance vs GB200; 120-140kW power draw</t>
  </si>
  <si>
    <t>Vera Rubin NVL72</t>
  </si>
  <si>
    <t>$3.5M–$4.0M</t>
  </si>
  <si>
    <t>Futurum Group via CNBC (Feb 2026)</t>
  </si>
  <si>
    <t>~25% premium over Grace Blackwell; most widely cited estimate</t>
  </si>
  <si>
    <t>Vera Rubin Ultra NVL144</t>
  </si>
  <si>
    <t>~$10M</t>
  </si>
  <si>
    <t>Wolfe Research (Jan 2026)</t>
  </si>
  <si>
    <t>Double GPUs per rack (144 vs 72); future platform</t>
  </si>
  <si>
    <t>Model assumption (this file)</t>
  </si>
  <si>
    <t>$6.0M</t>
  </si>
  <si>
    <t>Assumptions sheet B19</t>
  </si>
  <si>
    <t>50-71% above Futurum/CNBC estimate. May include ancillary costs, early-access premium, or logistics buffer. 20% volume discount brings to $4.8M.</t>
  </si>
  <si>
    <t>10. BENCHMARKING: GPU PRICE PER HOUR ($3.00 ASSUMPTION)</t>
  </si>
  <si>
    <t>Model uses $3.00/GPU-hr (Incomes!C15), hardcoded, escalating at 5%/year. Revenue = capacity × price × days × utilization.</t>
  </si>
  <si>
    <t>Research date: 7 March 2026. Pricing below reflects current-gen H100/H200 GPUs; Vera Rubin (next-gen, shipping H2 2026) would likely command a premium.</t>
  </si>
  <si>
    <t>Provider Category</t>
  </si>
  <si>
    <t>Price Range ($/GPU-hr)</t>
  </si>
  <si>
    <t>Sources / Notes</t>
  </si>
  <si>
    <t>H100 — Specialist clouds (low)</t>
  </si>
  <si>
    <t>$1.49–$2.10</t>
  </si>
  <si>
    <t>Lambda Labs, RunPod, Vast.ai, GMI Cloud (IntuitionLabs, Nov 2025)</t>
  </si>
  <si>
    <t>H100 — Specialist clouds (mid)</t>
  </si>
  <si>
    <t>$2.10–$2.99</t>
  </si>
  <si>
    <t>Jarvislabs, TensorDock, Cudo, Hyperstack (JarvisLabs, Jan 2026)</t>
  </si>
  <si>
    <t>H100 — Hyperscalers (AWS, GCP, Azure)</t>
  </si>
  <si>
    <t>$3.00–$5.00</t>
  </si>
  <si>
    <t>AWS P5 ~$3.90 post-44% cut (Jun 2025); GCP A3 ~$3.00 (IntuitionLabs)</t>
  </si>
  <si>
    <t>H100 — Market consensus</t>
  </si>
  <si>
    <t>$2.00–$4.00</t>
  </si>
  <si>
    <t>IntuitionLabs compilation of 15+ providers (Nov 2025)</t>
  </si>
  <si>
    <t>H200 — Budget to mid-range</t>
  </si>
  <si>
    <t>$2.50–$3.80</t>
  </si>
  <si>
    <t>GMI Cloud $2.50; Jarvislabs $3.80; GCP Spot $3.72 (JarvisLabs, Jan 2026)</t>
  </si>
  <si>
    <t>H200 — Hyperscalers</t>
  </si>
  <si>
    <t>~$10.60</t>
  </si>
  <si>
    <t>AWS/Azure on-demand (JarvisLabs, Jan 2026)</t>
  </si>
  <si>
    <t>H100 — Historical peak (2023–2024)</t>
  </si>
  <si>
    <t>$7.50–$11.00</t>
  </si>
  <si>
    <t>AWS P5 at launch ~$7.50; GCP A3 ~$11 (SiliconData, IntuitionLabs)</t>
  </si>
  <si>
    <t>ASSESSMENT</t>
  </si>
  <si>
    <t>✅  $3.00/hr aligns with current H100 on-demand pricing at hyperscalers and is a reasonable starting point.</t>
  </si>
  <si>
    <t>⚠️  This model sells Vera Rubin GPU-hours (next-gen, ~5x inference perf vs Blackwell). A higher launch price ($4–$5) could be justified initially.</t>
  </si>
  <si>
    <t>⚠️  Historical GPU cloud pricing trends show significant deflation (40–50% annually for mature hardware). The 5%/yr escalation in the model runs counter to this trend.</t>
  </si>
  <si>
    <t>⚠️  By 2027 (Year 1), today's $3/hr H100 rate could be $1.50–$2.00 due to next-gen displacement. Vera Rubin would be the premium tier at that point.</t>
  </si>
  <si>
    <t>⚠️  AMD Helios rack-scale systems arriving in 2026 could put downward pricing pressure on NVIDIA platforms.</t>
  </si>
  <si>
    <t>⚠️  H100 cloud rates fell from ~$8/hr (early 2024) to $1.50–$3.00/hr (late 2025), a ~60–80% decline in under 2 years.</t>
  </si>
  <si>
    <t>ℹ️  Possible scenarios: (a) premium launch at $4–5 then flat/declining, (b) $3 start with 0% escalation, (c) $3 start with -10–15%/yr decline as market matures.</t>
  </si>
  <si>
    <t>Benchmarked rack price ($6M)</t>
  </si>
  <si>
    <t>Researched NVIDIA rack pricing across generations. Futurum/CNBC estimates Vera Rubin NVL72 at $3.5–$4M. Model's $6M is 50–71% above consensus. Documented in Notes Section 9.</t>
  </si>
  <si>
    <t>Benchmarked GPU price/hr ($3.00)</t>
  </si>
  <si>
    <t>H100 market at $2–4/hr (late 2025). $3/hr reasonable for current gen; Vera Rubin could justify higher. 5%/yr escalation runs counter to historical deflation. Documented in Notes Section 10.</t>
  </si>
  <si>
    <t>11. BENCHMARKING: ELECTRICITY PRICE (130 PLN/MWh ASSUMPTION)</t>
  </si>
  <si>
    <t>EnergySolution.pl</t>
  </si>
  <si>
    <t>Poland DAM avg. (2024)</t>
  </si>
  <si>
    <t>Arthur D. Little</t>
  </si>
  <si>
    <t>CORRECTION: Model uses USD 130/MWh (not PLN). Flat across all years. Described as avg. wholesale price for companies, excl. negotiation/volume discounts.</t>
  </si>
  <si>
    <t>Research date: 7 March 2026. Sources: IEA, Eurostat, Arthur D. Little, TGE, ING Think, EnergySolution.pl, GlobalPetrolPrices.</t>
  </si>
  <si>
    <t>Benchmark (USD/MWh)</t>
  </si>
  <si>
    <t>EUROPEAN WHOLESALE</t>
  </si>
  <si>
    <t>EU average wholesale (H1 2025)</t>
  </si>
  <si>
    <t>~$90/MWh</t>
  </si>
  <si>
    <t>IEA Electricity Mid-Year Update 2025</t>
  </si>
  <si>
    <t>+30% YoY; driven by higher gas prices</t>
  </si>
  <si>
    <t>EU average wholesale (full year 2025)</t>
  </si>
  <si>
    <t>~$95/MWh</t>
  </si>
  <si>
    <t>IEA Electricity 2026 report</t>
  </si>
  <si>
    <t>+10% YoY; in line with TTF gas price increases</t>
  </si>
  <si>
    <t>EU futures for 2026</t>
  </si>
  <si>
    <t>IEA (as of Jan 2026)</t>
  </si>
  <si>
    <t>Broadly in line with 2025, easing to ~$85 in 2027</t>
  </si>
  <si>
    <t>~$100/MWh (€100)</t>
  </si>
  <si>
    <t>vs. France €58, Norway €39 — Poland among highest in EU</t>
  </si>
  <si>
    <t>Poland spot (Nov 2025)</t>
  </si>
  <si>
    <t>~$130/MWh (€124)</t>
  </si>
  <si>
    <t>2nd highest in EU; low wind month (+18.6% MoM)</t>
  </si>
  <si>
    <t>Poland forward BASE Y-26</t>
  </si>
  <si>
    <t>~$88/MWh (€84)</t>
  </si>
  <si>
    <t>EnergySolution.pl (Nov 2025)</t>
  </si>
  <si>
    <t>Annual baseload contract for 2026 delivery</t>
  </si>
  <si>
    <t>Germany wholesale (H1 2025)</t>
  </si>
  <si>
    <t>~$100/MWh</t>
  </si>
  <si>
    <t>IEA</t>
  </si>
  <si>
    <t>+37% YoY; reduced wind output, higher gas dependence</t>
  </si>
  <si>
    <t>UK wholesale (H1 2025)</t>
  </si>
  <si>
    <t>~$115/MWh</t>
  </si>
  <si>
    <t>+40% YoY; gas-heavy mix, colder winter</t>
  </si>
  <si>
    <t>Nordics wholesale (H1 2025)</t>
  </si>
  <si>
    <t>~$40/MWh</t>
  </si>
  <si>
    <t>Lowest in Europe; hydro + wind surplus</t>
  </si>
  <si>
    <t>US wholesale avg. (H1 2025)</t>
  </si>
  <si>
    <t>~$48/MWh</t>
  </si>
  <si>
    <t>+40% YoY but from low base; EU is ~2x US price</t>
  </si>
  <si>
    <t>Iceland (data center benchmark)</t>
  </si>
  <si>
    <t>~$42/MWh</t>
  </si>
  <si>
    <t>IT Pro</t>
  </si>
  <si>
    <t>100% renewable grid (geothermal/tidal); cheapest in Europe</t>
  </si>
  <si>
    <t>Poland industrial retail (May 2025)</t>
  </si>
  <si>
    <t>~$93/MWh (0.38 PLN/kWh)</t>
  </si>
  <si>
    <t>Intratec (Feb 2026)</t>
  </si>
  <si>
    <t>Full industrial price incl. all charges; -38.7% YoY</t>
  </si>
  <si>
    <t>DATA CENTER–SPECIFIC</t>
  </si>
  <si>
    <t>EU non-household avg. (H1 2025)</t>
  </si>
  <si>
    <t>~$190/MWh (€190.2)</t>
  </si>
  <si>
    <t>Eurostat</t>
  </si>
  <si>
    <t>500–2,000 MWh band; includes all taxes/levies/VAT</t>
  </si>
  <si>
    <t>UK data center (mid-2024)</t>
  </si>
  <si>
    <t>~$139/MWh (£110)</t>
  </si>
  <si>
    <t>Down from $443/MWh during 2022 energy crisis</t>
  </si>
  <si>
    <t>Electricity as % of DC opex</t>
  </si>
  <si>
    <t>15–30%</t>
  </si>
  <si>
    <t>Thunder Said Energy, SolarTech</t>
  </si>
  <si>
    <t>Second largest opex item after maintenance</t>
  </si>
  <si>
    <t>DC capex benchmark per MW</t>
  </si>
  <si>
    <t>$10M/MW</t>
  </si>
  <si>
    <t>Thunder Said Energy</t>
  </si>
  <si>
    <t>Standard data center capex; AI DCs cost more</t>
  </si>
  <si>
    <t>Europe DC cost premium</t>
  </si>
  <si>
    <t>+30–40% vs. US/Middle East</t>
  </si>
  <si>
    <t>Driven by higher energy and construction costs</t>
  </si>
  <si>
    <t>Colocation rate, London (2025)</t>
  </si>
  <si>
    <t>$180–$215/kW/month</t>
  </si>
  <si>
    <t>Mordor Intelligence</t>
  </si>
  <si>
    <t>Premium pricing due to grid bottlenecks</t>
  </si>
  <si>
    <t>Rack density shift</t>
  </si>
  <si>
    <t>5–10kW → 100kW+</t>
  </si>
  <si>
    <t>Liquid-cooled AI racks driving power upgrade costs</t>
  </si>
  <si>
    <t>✅ Reasonably Aligned</t>
  </si>
  <si>
    <t>Model's USD 130/MWh sits within the range of recent Polish wholesale prices ($88–130/MWh depending on forward vs. spot) and aligns closely with UK data center benchmark (~$139/MWh). This is a reasonable assumption for a large, contracted industrial consumer in Poland.</t>
  </si>
  <si>
    <t>⚠️ Slightly Aggressive</t>
  </si>
  <si>
    <t>EU wholesale average is ~$90–95/MWh, but Poland is consistently 10–30% above the EU average. The Polish spot peaked at ~$130/MWh in Nov 2025, but the forward contract for 2026 delivery is only ~$88/MWh. A 130MW data center could likely negotiate long-term contracts below spot.</t>
  </si>
  <si>
    <t>⚠️ Consider: All-in Cost</t>
  </si>
  <si>
    <t>Wholesale prices exclude transmission fees, distribution charges, capacity market charges, and taxes. Eurostat's non-household EU average including all charges is ~$190/MWh. Large industrial consumers typically pay somewhere between wholesale and full retail. Model's $130 may be net of some but not all add-on charges.</t>
  </si>
  <si>
    <t>⚠️ Consider: Flat Pricing</t>
  </si>
  <si>
    <t>Model assumes $130/MWh flat across 2026–2031. IEA futures suggest EU prices stable at ~$95/MWh through 2026, easing to ~$85/MWh in 2027. Poland-specific dynamics (coal phase-out, renewable build-out, EU ETS carbon costs) create upward AND downward pressures. Flat pricing is a simplification but not unreasonable for a base case.</t>
  </si>
  <si>
    <t>📊 Sensitivity Range</t>
  </si>
  <si>
    <t>Reasonable range for variation analysis: $80–$160/MWh. Low case: Nordics-level pricing through PPA or renewable self-generation. Base: $130 (current assumption). High: full retail with all charges in a tight market.</t>
  </si>
  <si>
    <t>Internal Consistency Check</t>
  </si>
  <si>
    <t>⚠️ Assumptions Sheet Discrepancy</t>
  </si>
  <si>
    <t>The Assumptions sheet references energy prices of 414–500 PLN/MWh. At current USD/PLN rates (~4.05–4.20), USD 130/MWh ≈ PLN 527–546/MWh. This is actually ABOVE the Assumptions sheet values, suggesting the Assumptions sheet may reflect older/lower pricing while the Analysis sheet uses a more conservative (higher) figure. The discrepancy should be clarified for model audit purposes.</t>
  </si>
  <si>
    <t>Financial Impact of ±$30/MWh Change</t>
  </si>
  <si>
    <t>Annual cost at $130/MWh (112MW):</t>
  </si>
  <si>
    <t>~$127.5M/year (= 112MW × 8,760hrs × $130/MWh)</t>
  </si>
  <si>
    <t>If $100/MWh (optimistic):</t>
  </si>
  <si>
    <t>~$98.1M/year → savings of ~$29.5M/year</t>
  </si>
  <si>
    <t>If $160/MWh (conservative):</t>
  </si>
  <si>
    <t>~$156.9M/year → additional cost of ~$29.5M/year</t>
  </si>
  <si>
    <t>Benchmarked electricity price (USD 130/MWh)</t>
  </si>
  <si>
    <t>CORRECTED: Unit is USD, not PLN. USD 130/MWh is reasonably aligned with Polish/EU wholesale markets ($88–130 spot range). Slightly aggressive vs. EU avg (~$95) but defensible for a contracted large industrial consumer. Suggested sensitivity range: $80–$160/MWh. Minor Assumptions sheet discrepancy flagged. Updated Notes Section 11.</t>
  </si>
  <si>
    <t>12. MODEL ASSESSMENT &amp; IMPROVEMENT PLAN</t>
  </si>
  <si>
    <t>Overall Rating: Solid foundation, needs refinement before investor presentation. Covers right ground (P&amp;L, BS, CF, DCF, IRR, NPV sensitivity, MOIC) with properly linked financial statements.</t>
  </si>
  <si>
    <t>Assessment date: 8 March 2026. Based on comprehensive review of all 16 sheets, formula audit, and benchmarking analysis.</t>
  </si>
  <si>
    <t>STRENGTHS</t>
  </si>
  <si>
    <t>✅ Comprehensive structure</t>
  </si>
  <si>
    <t>16 sheets covering financial statements, D&amp;A, financing, staffing, DCF, IRR, NPV sensitivity, and investment metrics. Model tells a complete story.</t>
  </si>
  <si>
    <t>✅ Linked financial statements</t>
  </si>
  <si>
    <t>P&amp;L pulls from Incomes/Costs sheets, BS is properly structured (Polish GAAP format), CF flows from net income with adjustments.</t>
  </si>
  <si>
    <t>✅ Dual scenario awareness</t>
  </si>
  <si>
    <t>Separates optimistic (100% utilization) view in P&amp;L/BS/CF from realistic (70→80→90%) view in Analysis/DCF/IRR. Right approach conceptually.</t>
  </si>
  <si>
    <t>✅ Defensible key assumptions</t>
  </si>
  <si>
    <t>After benchmarking: GPU price ($3/hr), electricity ($130/MWh USD), and financing (6%) are all defensible for a base case.</t>
  </si>
  <si>
    <t>STRUCTURAL ISSUES (MEDIUM PRIORITY)</t>
  </si>
  <si>
    <t>⚠️ Two disconnected scenario tracks</t>
  </si>
  <si>
    <t>P&amp;L/BS/CF run at 100% utilization; Analysis/DCF/IRR use 70→80→90%. These are NOT linked. DCF rebuilds EBITDA from scratch rather than pulling from a unified P&amp;L. No integrated three-statement model for the realistic case.</t>
  </si>
  <si>
    <t>Unify: parameterize utilization as a single input that flows through all statements.</t>
  </si>
  <si>
    <t>⚠️ Single-product revenue model</t>
  </si>
  <si>
    <t>All income = GPU hours × price × utilization days. No customer segmentation, contract structure, pricing tiers, churn, or revenue diversification (colocation, managed services, storage).</t>
  </si>
  <si>
    <t>Add at minimum: contractual vs. spot split, customer ramp-up schedule.</t>
  </si>
  <si>
    <t>⚠️ 5% annual GPU price escalation</t>
  </si>
  <si>
    <t>Formula: =D3*(1+5%)^n. Cloud GPU prices historically DECLINE 40–50% annually. 5% increase over 5 years inflates Year 5 revenue by ~28% vs. flat pricing.</t>
  </si>
  <si>
    <t>Use flat or slightly declining pricing as base case. Price escalation = upside scenario only.</t>
  </si>
  <si>
    <t>⚠️ Terminal value dominance</t>
  </si>
  <si>
    <t>PV of forecast period FCF: -$1.35B (negative). PV of terminal value: $7.88B. So 121% of EV comes from terminal value. The 5-year forecast period destroys value on a PV basis.</t>
  </si>
  <si>
    <t>Extend forecast to 7–10 years. Add multiple exit methods (EBITDA multiple + perpetuity growth).</t>
  </si>
  <si>
    <t>⚠️ Hardcoded 10x EBITDA exit</t>
  </si>
  <si>
    <t>IRR sheet uses 10x × Year 5 EBITDA as exit value. No justification or sensitivity. DC multiples range 8–25x depending on operator scale.</t>
  </si>
  <si>
    <t>Add sensitivity table: exit multiples (8x, 10x, 12x, 15x) × WACC.</t>
  </si>
  <si>
    <t>ISSUES TO FIX (HIGH PRIORITY)</t>
  </si>
  <si>
    <t>🔴 No working capital dynamics in DCF</t>
  </si>
  <si>
    <t>Δ Working Capital in DCF appears hardcoded or uses a simple proxy rather than flowing from the NWC schedule. The NWC sheet links to the optimistic P&amp;L, not the realistic scenario.</t>
  </si>
  <si>
    <t>Rebuild NWC schedule tied to realistic scenario. Feed ΔNWC into DCF.</t>
  </si>
  <si>
    <t>🔴 Near-zero ongoing CapEx</t>
  </si>
  <si>
    <t>After $3.67B initial investment, model assumes only $100K/year CapEx. For a 130MW DC: no GPU refresh (3–5yr cycle), no maintenance capex (typically 2–5% of initial), no cooling upgrades for next-gen GPUs, no network upgrades.</t>
  </si>
  <si>
    <t>Add maintenance CapEx ($50–100M/yr) and GPU refresh in Year 4–5. Materially impacts FCF and IRR.</t>
  </si>
  <si>
    <t>🔴 Tax loss carryforward not utilized</t>
  </si>
  <si>
    <t>Analysis tracks cumulative tax losses (~$395M through Year 2). But DCF applies flat 19% to all positive EBIT from Year 3 onward without using accumulated NOLs. Overstates taxes by ~$75M.</t>
  </si>
  <si>
    <t>Implement proper NOL carryforward mechanics: offset future taxable income until losses exhausted.</t>
  </si>
  <si>
    <t>🔴 Depreciation ends at Year 5</t>
  </si>
  <si>
    <t>Equipment depreciates at 20%/yr declining balance. By Year 5, $3.07B GPU equipment has book value of ~$1B. Terminal value assumes ongoing operations but assets nearly fully depreciated — no consideration of replacement.</t>
  </si>
  <si>
    <t>Link depreciation to GPU refresh schedule. Terminal value should reflect steady-state CapEx.</t>
  </si>
  <si>
    <t>IMPROVEMENT PLAN (PRIORITIZED)</t>
  </si>
  <si>
    <t>Priority</t>
  </si>
  <si>
    <t>Impact</t>
  </si>
  <si>
    <t>🔴 High</t>
  </si>
  <si>
    <t>Unify P&amp;L/BS/CF with Analysis scenario (parameterize utilization)</t>
  </si>
  <si>
    <t>Audit credibility — investors will question disconnected scenarios</t>
  </si>
  <si>
    <t>Add realistic maintenance/refresh CapEx ($50–100M/yr)</t>
  </si>
  <si>
    <t>FCF, IRR, DCF all materially affected; currently overstated</t>
  </si>
  <si>
    <t>Fix tax loss carryforward utilization in DCF</t>
  </si>
  <si>
    <t>Overstates taxes by ~$75M across forecast period</t>
  </si>
  <si>
    <t>Extend forecast to 7–10 years (reduce terminal value reliance)</t>
  </si>
  <si>
    <t>DCF credibility — 121% of EV from terminal value is a red flag</t>
  </si>
  <si>
    <t>⚠️ Medium</t>
  </si>
  <si>
    <t>Reverse GPU price escalation (flat or declining base case)</t>
  </si>
  <si>
    <t>Revenue realism — 5% annual increase contradicts market trends</t>
  </si>
  <si>
    <t>Add exit multiple sensitivity table (8x/10x/12x/15x × WACC)</t>
  </si>
  <si>
    <t>Investor-ready — critical for valuation range</t>
  </si>
  <si>
    <t>Build variation analysis (Bull/Base/Bear scenarios)</t>
  </si>
  <si>
    <t>Completeness — filename promises this; not yet built</t>
  </si>
  <si>
    <t>Add GPU refresh CapEx in Year 4–5 (technology cycle)</t>
  </si>
  <si>
    <t>CapEx realism — GPUs have 3–5yr useful life</t>
  </si>
  <si>
    <t>📝 Low</t>
  </si>
  <si>
    <t>Add revenue breakdown by customer type (contract vs. spot)</t>
  </si>
  <si>
    <t>Revenue credibility for due diligence</t>
  </si>
  <si>
    <t>Document all hardcoded values with sources</t>
  </si>
  <si>
    <t>Audit trail — several assumptions lack source documentation</t>
  </si>
  <si>
    <t>Add charts (EBITDA waterfall, cumulative FCF, scenario comparison)</t>
  </si>
  <si>
    <t>Presentation quality for investor decks</t>
  </si>
  <si>
    <t>Recommendation</t>
  </si>
  <si>
    <t>Comprehensive model assessment</t>
  </si>
  <si>
    <t>Full review of all 16 sheets. Identified 4 strengths, 5 structural issues (medium priority), 4 high-priority fixes. Key findings: terminal value = 121% of EV, near-zero ongoing CapEx unrealistic, tax loss carryforward not utilized, 5% GPU price escalation contradicts market. Created 11-item prioritized improvement plan. Documented in Notes Section 12.</t>
  </si>
  <si>
    <t>13. BENCHMARKING: ENERGY CONSUMPTION PER RACK (112 MW / 512 RACKS ASSUMPTION)</t>
  </si>
  <si>
    <t>Model uses 512 Vera Rubin NVL72 racks ($3.072B ÷ $6M/rack). Facility nominal power = 130 MW, real usage = 112 MW. Per-rack: 218.75 kW (real) / 253.9 kW (nominal).</t>
  </si>
  <si>
    <t>Research date: 8 March 2026. Sources: NVIDIA, HPE, Ming-Chi Kuo (supply chain), TrendForce, Dell'Oro, Schneider Electric, Introl, TechStories, Eliovp, The Register.</t>
  </si>
  <si>
    <t>MODEL REVERSE-ENGINEERING</t>
  </si>
  <si>
    <t>Derivation</t>
  </si>
  <si>
    <t>Equipment CapEx</t>
  </si>
  <si>
    <t>D&amp;A CAPEX sheet: equipment &amp; machinery</t>
  </si>
  <si>
    <t>GPU rack price (pre-discount)</t>
  </si>
  <si>
    <t>Assumptions sheet: Vera Rubin = 6 mln USD</t>
  </si>
  <si>
    <t>Number of racks</t>
  </si>
  <si>
    <t>$3.072B ÷ $6M = 512 racks (volume discount NOT applied to CapEx)</t>
  </si>
  <si>
    <t>GPUs per rack</t>
  </si>
  <si>
    <t>Vera Rubin NVL72 standard configuration</t>
  </si>
  <si>
    <t>Total GPUs</t>
  </si>
  <si>
    <t>512 × 72 = 36,864</t>
  </si>
  <si>
    <t>GPU-hours/day (capacity)</t>
  </si>
  <si>
    <t>36,864 GPUs × 24 hrs = 884,736 (matches Incomes sheet)</t>
  </si>
  <si>
    <t>Nominal facility power</t>
  </si>
  <si>
    <t>130 MW</t>
  </si>
  <si>
    <t>Analysis rows 60–65: usage MW = 130</t>
  </si>
  <si>
    <t>Real facility power</t>
  </si>
  <si>
    <t>Assumptions: 'real usage is at 90MW but we assume...' / Analysis realistic = 112 MW</t>
  </si>
  <si>
    <t>Per-rack power (real)</t>
  </si>
  <si>
    <t>218.75 kW</t>
  </si>
  <si>
    <t>112,000 kW ÷ 512 racks</t>
  </si>
  <si>
    <t>Per-rack power (nominal)</t>
  </si>
  <si>
    <t>253.9 kW</t>
  </si>
  <si>
    <t>130,000 kW ÷ 512 racks</t>
  </si>
  <si>
    <t>Annual energy (at 112 MW)</t>
  </si>
  <si>
    <t>981,120 MWh</t>
  </si>
  <si>
    <t>112 MW × 8,760 hrs</t>
  </si>
  <si>
    <t>Annual energy per rack</t>
  </si>
  <si>
    <t>1,916 MWh</t>
  </si>
  <si>
    <t>981,120 ÷ 512 racks</t>
  </si>
  <si>
    <t>INDUSTRY BENCHMARKS: RACK POWER CONSUMPTION</t>
  </si>
  <si>
    <t>Power per Rack</t>
  </si>
  <si>
    <t>CURRENT GENERATION (Blackwell)</t>
  </si>
  <si>
    <t>GB200 NVL72</t>
  </si>
  <si>
    <t>120–132 kW</t>
  </si>
  <si>
    <t>Dell'Oro Group (Mar 2025); TrendForce (Mar 2025)</t>
  </si>
  <si>
    <t>Current shipping product; 72 GPUs, liquid-cooled</t>
  </si>
  <si>
    <t>132–140 kW</t>
  </si>
  <si>
    <t>HPE official product page; TrendForce (Mar 2025)</t>
  </si>
  <si>
    <t>HPE states 132–140 kW; Schneider Electric cites 142 kW</t>
  </si>
  <si>
    <t>GB300 NVL72 — typical load</t>
  </si>
  <si>
    <t>~120 kW</t>
  </si>
  <si>
    <t>Eliovp deployment report; Introl (Jun 2025)</t>
  </si>
  <si>
    <t>Typical sustained; peak up to 150 kW during intensive workloads</t>
  </si>
  <si>
    <t>HGX AI servers (H100-era)</t>
  </si>
  <si>
    <t>60–80 kW</t>
  </si>
  <si>
    <t>TrendForce (Mar 2025)</t>
  </si>
  <si>
    <t>2024 mainstream; for comparison only</t>
  </si>
  <si>
    <t>VERA RUBIN (model's GPU generation)</t>
  </si>
  <si>
    <t>Vera Rubin NVL72 — Max Q</t>
  </si>
  <si>
    <t>~190 kW</t>
  </si>
  <si>
    <t>Ming-Chi Kuo supply chain checks (CES 2026)</t>
  </si>
  <si>
    <t>GPU TGP ~1.8 kW × 72 GPUs + CPUs/switches; efficiency-optimized profile</t>
  </si>
  <si>
    <t>Vera Rubin NVL72 — Max P</t>
  </si>
  <si>
    <t>~230 kW</t>
  </si>
  <si>
    <t>GPU TGP ~2.3 kW × 72 GPUs + CPUs/switches; performance-optimized profile</t>
  </si>
  <si>
    <t>Vera Rubin NVL72 — general estimates</t>
  </si>
  <si>
    <t>120–130 kW</t>
  </si>
  <si>
    <t>Introl blog (Sep 2025); DataCenter Richness (Jan 2026)</t>
  </si>
  <si>
    <t>⚠️ Appears to reference Oberon rack baseline; likely understated for Rubin</t>
  </si>
  <si>
    <t>NVIDIA official</t>
  </si>
  <si>
    <t>Not disclosed</t>
  </si>
  <si>
    <t>The Register (Jan 2026): NVIDIA 'isn't ready to say' final TDP</t>
  </si>
  <si>
    <t>Confirmed higher than Blackwell but 'shouldn't expect power to double'</t>
  </si>
  <si>
    <t>FUTURE PLATFORMS (for reference)</t>
  </si>
  <si>
    <t>Vera Rubin NVL144 CPX</t>
  </si>
  <si>
    <t>~190–370 kW</t>
  </si>
  <si>
    <t>TechStories (Jan 2026)</t>
  </si>
  <si>
    <t>Prefill-optimized variant with 144 CPX + 144 standard GPUs</t>
  </si>
  <si>
    <t>Rubin Ultra NVL576 (Kyber rack)</t>
  </si>
  <si>
    <t>~600 kW</t>
  </si>
  <si>
    <t>The Register (Mar 2025); Dell'Oro (Mar 2025)</t>
  </si>
  <si>
    <t>2027 platform; 576 GPUs; requires 800V HVDC power distribution</t>
  </si>
  <si>
    <t>Model's real usage of 218.75 kW/rack sits between Vera Rubin Max Q (~190 kW) and Max P (~230 kW). If the facility deploys Max P racks, 218.75 kW represents ~95% of TDP — a realistic sustained load. The model's assumption is defensible.</t>
  </si>
  <si>
    <t>⚠️ 120–130 kW Estimates Are Outdated</t>
  </si>
  <si>
    <t>Several sources cite 120–130 kW for 'Vera Rubin NVL72' but these appear to carry over from Blackwell-era figures. Ming-Chi Kuo's supply chain data (190–230 kW, Jan 2026) is the most authoritative Vera Rubin–specific estimate, showing a 36–64% increase over GB300.</t>
  </si>
  <si>
    <t>⚠️ Nominal 253.9 kW Is Slightly High</t>
  </si>
  <si>
    <t>The model's nominal power (130 MW ÷ 512 = 253.9 kW) exceeds even the Max P estimate of ~230 kW by ~10%. This likely includes facility overhead (cooling pumps, networking, lighting, power conversion losses — i.e., PUE). A PUE of 1.10–1.15 would explain the gap: 230 kW × 1.10 = 253 kW. This is reasonable for a modern liquid-cooled facility.</t>
  </si>
  <si>
    <t>⚠️ Volume Discount Ambiguity</t>
  </si>
  <si>
    <t>The Assumptions sheet lists a 20% volume discount, but CapEx shows 512 × $6M = $3.072B (no discount applied). If the discount IS applied, the facility would have 640 racks (not 512), dropping per-rack power to 175 kW (real) / 203 kW (nominal) — which would be below even Max Q. The 512-rack interpretation is consistent with the Incomes sheet capacity calculation.</t>
  </si>
  <si>
    <t>For variation analysis, use per-rack power of 160–250 kW. Low: Max Q at partial load. Base: 218.75 kW (current assumption). High: Max P at full load with PUE overhead.</t>
  </si>
  <si>
    <t>FINANCIAL IMPACT OF POWER VARIANCE</t>
  </si>
  <si>
    <t>If Max Q profile (190 kW × 512 racks = 97.3 MW):</t>
  </si>
  <si>
    <t>Annual cost = $110.7M (vs. model's $127.5M) → savings of ~$16.8M/year</t>
  </si>
  <si>
    <t>If Max P profile (230 kW × 512 racks = 117.8 MW):</t>
  </si>
  <si>
    <t>Annual cost = $134.0M (vs. model's $127.5M) → additional cost of ~$6.5M/year</t>
  </si>
  <si>
    <t>If 120 kW/rack (low estimates, unlikely for VR):</t>
  </si>
  <si>
    <t>Annual cost = $69.9M → savings of ~$57.6M/year (but this power level is almost certainly too low for Vera Rubin)</t>
  </si>
  <si>
    <t>KEY TAKEAWAY</t>
  </si>
  <si>
    <t>The model's 112 MW for 512 Vera Rubin NVL72 racks (218.75 kW/rack) is well-supported by the best available supply chain data. It aligns with a Max Q/Max P blended scenario and is a reasonable base case. The 130 MW nominal figure likely includes PUE overhead and represents a credible facility-level power budget. No correction needed for the base case.</t>
  </si>
  <si>
    <t>Benchmarked energy consumption per rack</t>
  </si>
  <si>
    <t>Reverse-engineered model: 512 racks, 112 MW real / 130 MW nominal → 218.75 / 253.9 kW per rack. Best available Vera Rubin data (Ming-Chi Kuo, Jan 2026): Max Q ~190 kW, Max P ~230 kW. Model's 218.75 kW sits between Max Q and Max P — defensible. Nominal 253.9 kW likely includes PUE overhead. No correction needed. Documented in Notes Section 13.</t>
  </si>
  <si>
    <t>NOL Carryforward (Opening)</t>
  </si>
  <si>
    <t>(-) NOL Utilized</t>
  </si>
  <si>
    <t>Taxable EBIT (after NOL)</t>
  </si>
  <si>
    <t>(-) Taxes (19% on Taxable EBIT)</t>
  </si>
  <si>
    <t>Annual Maintenance CapEx</t>
  </si>
  <si>
    <t>USD/year from Year 1</t>
  </si>
  <si>
    <t>GPU Refresh CapEx (Year 4)</t>
  </si>
  <si>
    <t>USD (phased replacement begins)</t>
  </si>
  <si>
    <t>GPU Refresh CapEx (Year 5)</t>
  </si>
  <si>
    <t>USD (accelerated replacement)</t>
  </si>
  <si>
    <t>Implemented 3 high-priority structural fixes</t>
  </si>
  <si>
    <t>Fix 1: Tax Loss Carryforward — Added NOL tracking rows (Opening, Utilized, Taxable EBIT) to DCF. Years 0-1 losses ($150.3M cumulative) now offset Years 2-3 taxable income. Year 2 tax: $16.5M → $0. Year 3 tax: $57.1M → $45.1M. Fix 2: Maintenance &amp; Refresh CapEx — Added $75M/yr maintenance + $200M GPU refresh (Yr 4) + $400M (Yr 5) as adjustable assumptions. Fix 3: Flat GPU Pricing — Changed price escalation from +5%/yr to 0% (flat $3.00/hr). Linked DCF EBITDA to Analysis sheet (was hardcoded). Also fixed DCF terminal value to use EBITDA Multiple method consistently (was using Gordon Growth despite model stating EBITDA Multiple selected).</t>
  </si>
  <si>
    <t>✅ Done (Session 9 Mar 2026) — $75M/yr maintenance + $200M/$400M GPU refresh in Yr 4/5. Adjustable inputs in DCF Assumptions.</t>
  </si>
  <si>
    <t>✅ Done (Session 9 Mar 2026) — NOL tracking rows added to DCF. Cumulative losses offset Years 2-3 taxable EBIT.</t>
  </si>
  <si>
    <t>✅ Done (Session 9 Mar 2026) — Changed Incomes!J20 from 5% to 0%. Analysis prices linked to this cell. DCF EBITDA now linked to Analysis (was hardcoded).</t>
  </si>
  <si>
    <t>✅ Done — Included in Fix 2 ($200M Yr 4 + $400M Yr 5 GPU refresh).</t>
  </si>
  <si>
    <t>$1.28B (was $6.53B)</t>
  </si>
  <si>
    <t>-$1.80B (was $3.46B)</t>
  </si>
  <si>
    <t>-1.50x (was 2.88x)</t>
  </si>
  <si>
    <t>15.7% (was 28.3%)</t>
  </si>
  <si>
    <t>27.9% (was 53.7%)</t>
  </si>
  <si>
    <t>1.89x (was 2.96x)</t>
  </si>
  <si>
    <t>5.70x (was 12.17x)</t>
  </si>
  <si>
    <t>~5.4 years (was ~5.2)</t>
  </si>
  <si>
    <t>$549M (was $790M)</t>
  </si>
  <si>
    <t>~$276M (was $392M)</t>
  </si>
  <si>
    <t>4. KEY OUTPUTS (BASE CASE) — Updated 9 Mar 2026 after Fixes 1-3</t>
  </si>
  <si>
    <t>OPERATING ASSUMPTIONS</t>
  </si>
  <si>
    <t>GPU Data Center Investment — Vera Rubin Architecture, Poland</t>
  </si>
  <si>
    <t>1. PROJECT &amp; TIMELINE</t>
  </si>
  <si>
    <t>Project Start Year</t>
  </si>
  <si>
    <t>Currency</t>
  </si>
  <si>
    <t>USD / PLN Exchange Rate</t>
  </si>
  <si>
    <t>2. GPU INFRASTRUCTURE</t>
  </si>
  <si>
    <t>GPUs per Rack</t>
  </si>
  <si>
    <t>NVL72 standard configuration</t>
  </si>
  <si>
    <t>Number of Racks</t>
  </si>
  <si>
    <t>Projection Period (years)</t>
  </si>
  <si>
    <t>PLN for local costs</t>
  </si>
  <si>
    <t>Rack Price, pre-discount ($mm)</t>
  </si>
  <si>
    <t>Applied to unit pricing, not total CapEx</t>
  </si>
  <si>
    <t>GPU Capacity (GPU-hrs/day)</t>
  </si>
  <si>
    <t xml:space="preserve"> </t>
  </si>
  <si>
    <t>See Notes Section 9 for benchmark</t>
  </si>
  <si>
    <t>4. ENERGY &amp; FACILITY</t>
  </si>
  <si>
    <t>Facility Nominal Capacity (MW)</t>
  </si>
  <si>
    <t>Facility Real Usage (MW)</t>
  </si>
  <si>
    <t>At full GPU utilization</t>
  </si>
  <si>
    <t>Electricity Price ($/MWh)</t>
  </si>
  <si>
    <t>See Notes Section 11</t>
  </si>
  <si>
    <t>Hours per Year</t>
  </si>
  <si>
    <t>24 x 365</t>
  </si>
  <si>
    <t>Per-Rack Power, real (kW)</t>
  </si>
  <si>
    <t>Real MW / # Racks</t>
  </si>
  <si>
    <t>Annual Energy Cost ($mm)</t>
  </si>
  <si>
    <t>Real MW x Hrs x Price / 1mm</t>
  </si>
  <si>
    <t>5. OPERATING COSTS</t>
  </si>
  <si>
    <t>Annual Cost Escalation</t>
  </si>
  <si>
    <t>Payroll, services, materials</t>
  </si>
  <si>
    <t>Total Headcount</t>
  </si>
  <si>
    <t>Monthly Payroll, excl. C-suite ($)</t>
  </si>
  <si>
    <t>From staff sheet</t>
  </si>
  <si>
    <t>Annual Payroll ($)</t>
  </si>
  <si>
    <t>Social Security (% of payroll)</t>
  </si>
  <si>
    <t>External Services (annual, $)</t>
  </si>
  <si>
    <t>Taxes &amp; Fees (annual, $)</t>
  </si>
  <si>
    <t>IT &amp; Telecom (annual, $)</t>
  </si>
  <si>
    <t>Materials (annual, $)</t>
  </si>
  <si>
    <t>Fixtures (annual, $)</t>
  </si>
  <si>
    <t>512 racks x $200</t>
  </si>
  <si>
    <t>Security (annual, $)</t>
  </si>
  <si>
    <t>Other Costs (annual, $)</t>
  </si>
  <si>
    <t>Maintenance Allowance (annual, $)</t>
  </si>
  <si>
    <t>$375K/quarter</t>
  </si>
  <si>
    <t>Other Annual Charges ($)</t>
  </si>
  <si>
    <t>6. CAPITAL STRUCTURE &amp; FINANCING</t>
  </si>
  <si>
    <t>CapEx Breakdown:</t>
  </si>
  <si>
    <t xml:space="preserve">  Land</t>
  </si>
  <si>
    <t xml:space="preserve">  Buildings &amp; Infrastructure</t>
  </si>
  <si>
    <t xml:space="preserve">  Equipment &amp; Machinery (GPUs)</t>
  </si>
  <si>
    <t>Racks x Price x 1mm</t>
  </si>
  <si>
    <t xml:space="preserve">  Vehicles</t>
  </si>
  <si>
    <t xml:space="preserve">  Other Tangible Assets</t>
  </si>
  <si>
    <t xml:space="preserve">  Intangible Assets (R&amp;D)</t>
  </si>
  <si>
    <t>Total Initial CapEx</t>
  </si>
  <si>
    <t>Equipment cost (100% debt-financed)</t>
  </si>
  <si>
    <t>Debt / Total Capital</t>
  </si>
  <si>
    <t>Benchmarked: DLR, EQIX, CyrusOne</t>
  </si>
  <si>
    <t>Debt Repayment Term (years)</t>
  </si>
  <si>
    <t>Annual Principal Repayment</t>
  </si>
  <si>
    <t>Tax Rate (Polish CIT)</t>
  </si>
  <si>
    <t>Tax Relief ($/year)</t>
  </si>
  <si>
    <t>Depreciation Rates (declining balance):</t>
  </si>
  <si>
    <t xml:space="preserve">  R&amp;D / Intangibles</t>
  </si>
  <si>
    <t xml:space="preserve">  Other Intangibles</t>
  </si>
  <si>
    <t>Not depreciated</t>
  </si>
  <si>
    <t xml:space="preserve">  Buildings</t>
  </si>
  <si>
    <t xml:space="preserve">  Equipment &amp; Machinery</t>
  </si>
  <si>
    <t xml:space="preserve">  Other Tangible</t>
  </si>
  <si>
    <t>7. VALUATION ASSUMPTIONS</t>
  </si>
  <si>
    <t>WACC (Discount Rate)</t>
  </si>
  <si>
    <t>Selected Terminal Value Method</t>
  </si>
  <si>
    <t>Ongoing CapEx:</t>
  </si>
  <si>
    <t>~2% of initial CapEx</t>
  </si>
  <si>
    <t xml:space="preserve">  GPU Refresh, Year 4 ($)</t>
  </si>
  <si>
    <t>Phased replacement begins</t>
  </si>
  <si>
    <t xml:space="preserve">  GPU Refresh, Year 5 ($)</t>
  </si>
  <si>
    <t>Accelerated replacement</t>
  </si>
  <si>
    <t xml:space="preserve">  Annual Intangible CapEx ($)</t>
  </si>
  <si>
    <t>3. REVENUE ASSUMPTIONS</t>
  </si>
  <si>
    <t>Base GPU Price ($/hr)</t>
  </si>
  <si>
    <t>See Notes Section 10</t>
  </si>
  <si>
    <t>Annual Price Escalation</t>
  </si>
  <si>
    <t>Days per Year</t>
  </si>
  <si>
    <t>GPU Utilization Ramp:</t>
  </si>
  <si>
    <t xml:space="preserve">  Year 1 (2027)</t>
  </si>
  <si>
    <t xml:space="preserve">  Year 2 (2028)</t>
  </si>
  <si>
    <t>Stable from Year 3 onward</t>
  </si>
  <si>
    <t>Centralized Assumptions tab (GS IB format)</t>
  </si>
  <si>
    <t>Created new Assumptions tab with 7 sections (93 rows) in Goldman Sachs IB formatting: 8pt Arial, blue inputs, black formulas, green cross-sheet links, grey italic notes. All hardcoded values from Analysis, DCF, IRR, Incomes, Leasing sheets re-linked to pull from single Assumptions source. Key cell references: B20=GPU price, B24-26=utilization, B31=electricity, B63=debt, B64=equity, B67=cost of debt, B71=tax rate, B84=WACC, B85=terminal growth, B86=exit multiple, B90-93=ongoing CapEx. Old tab renamed Assumptions_OLD.</t>
  </si>
  <si>
    <t>14. TAX RELIEF ANALYSIS ($3.8M/YEAR ASSUMPTION)</t>
  </si>
  <si>
    <t>The model applies a fixed $3,800,000 USD/year tax relief in Years 1–5 (P&amp;L line K, DCF row 24, Analysis row 27). Total relief = $19M over the projection period.</t>
  </si>
  <si>
    <t>Analysis date: 10 March 2026. Based on formula reverse-engineering from P&amp;L sheet and cross-referencing Polish investment incentive structures.</t>
  </si>
  <si>
    <t>FORMULA REVERSE-ENGINEERING</t>
  </si>
  <si>
    <t>The P&amp;L hardcodes the relief as:</t>
  </si>
  <si>
    <t xml:space="preserve">  = (0.19 × 0.40 × 160,000,000) / 3.2 = 3,800,000 USD/year</t>
  </si>
  <si>
    <t>Component</t>
  </si>
  <si>
    <t>Likely Interpretation</t>
  </si>
  <si>
    <t>Maximum regional aid intensity under EU state aid rules. Poland's less-developed voivodeships qualify for 25–50% aid intensity for large enterprises.</t>
  </si>
  <si>
    <t>160M PLN</t>
  </si>
  <si>
    <t>Qualifying investment base. Only ~$50M USD of the $3.67B total CapEx. Likely reflects a specific local/municipal incentive component, not the full project.</t>
  </si>
  <si>
    <t>USD/PLN FX</t>
  </si>
  <si>
    <t>Converts PLN-denominated relief to USD. Consistent with Assumptions!B8.</t>
  </si>
  <si>
    <t>PROBABLE LEGAL BASIS</t>
  </si>
  <si>
    <t>Polish Investment Zone (Polska Strefa Inwestycji / PSI)</t>
  </si>
  <si>
    <t>Poland replaced its Special Economic Zones (SEZs) in 2018 with the PSI program, which grants CIT exemptions to qualifying investments anywhere in Poland. Key features:</t>
  </si>
  <si>
    <t xml:space="preserve">  • Relief = Tax Rate × Aid Intensity % × Qualifying Eligible Costs</t>
  </si>
  <si>
    <t xml:space="preserve">  • Aid intensity varies by region: 25–50% for large enterprises (the 40% in the formula is consistent with central/eastern Poland)</t>
  </si>
  <si>
    <t xml:space="preserve">  • Relief is typically a TOTAL CAP on CIT exemption (not a fixed annual amount), used until exhausted</t>
  </si>
  <si>
    <t xml:space="preserve">  • Minimum investment thresholds apply (typically 10–100M PLN depending on region and sector)</t>
  </si>
  <si>
    <t>KNOWN ISSUES</t>
  </si>
  <si>
    <t>⚠️ Unit confusion: Krzysztof’s note on DCF!D24 says “3,800,000 PLN/year” but the formula produces USD (divides by 3.2 FX). The $3.8M figure is in USD.</t>
  </si>
  <si>
    <t>⚠️ Flat annual application: PSI relief is normally a cumulative cap (total aid ceiling = Aid Intensity × Eligible Costs), applied as CIT exemption until exhausted — not a fixed annual amount. The model’s flat $3.8M/year for 5 years is a simplification.</t>
  </si>
  <si>
    <t>⚠️ Small qualifying base: 160M PLN (~$50M) is only ~1.4% of total CapEx ($3.67B). This suggests either (a) only a small portion of costs qualify under PSI, (b) this reflects a separate municipal/local incentive, or (c) the base was set conservatively pending legal confirmation.</t>
  </si>
  <si>
    <t>⚠️ No source documentation: The 160M PLN base, 40% intensity rate, and legal basis are not documented anywhere in the model.</t>
  </si>
  <si>
    <t>ℹ️ Immateriality: Total relief = $19M over 5 years vs. $4.27B total investment (0.4%). Impact on IRR &lt; 10 bps. Low priority for correction but should be documented for audit trail.</t>
  </si>
  <si>
    <t>Formula: (0.19 x 0.40 x 160M PLN) / 3.2 FX. See Notes S14.</t>
  </si>
  <si>
    <t>0.19 (19%)</t>
  </si>
  <si>
    <t>0.40 (40%)</t>
  </si>
  <si>
    <t>160,000,000 PLN</t>
  </si>
  <si>
    <t>÷ 3.2</t>
  </si>
  <si>
    <t>BASE CASE — Realistic GPU utilization (70%→80%→90%)</t>
  </si>
  <si>
    <t>Utilization from Assumptions tab. Revenue and energy costs scale with utilization rate.</t>
  </si>
  <si>
    <t>✅ Done (Session 10 Mar 2026) — P&amp;L revenue × utilization (70%→80%→90% from Assumptions). Energy costs adjusted via Analysis realistic calc. BS balances confirmed (row 157 = 0 all years). CF cascaded. Labels updated to 'BASE CASE'.</t>
  </si>
  <si>
    <t>✅ Resolved — P&amp;L/BS/CF now use 70→80→90% utilization from Assumptions tab. Revenue and energy scale with utilization. Labels updated to BASE CASE.</t>
  </si>
  <si>
    <t>15. SUMMARY OF ALL MODEL CHANGES (vs. ORIGINAL)</t>
  </si>
  <si>
    <t>Compiled: 10 March 2026. Covers Sessions 9–10. All changes verified: BS balances, CF reconciles, no #REF! errors.</t>
  </si>
  <si>
    <t>STRUCTURAL CHANGES</t>
  </si>
  <si>
    <t>Change</t>
  </si>
  <si>
    <t>Sheets Affected</t>
  </si>
  <si>
    <t>New Assumptions Tab (Sheet 27)</t>
  </si>
  <si>
    <t>Centralized all 93 hardcoded inputs into single source-of-truth sheet. 7 sections: Project &amp; Timeline, GPU Infrastructure, Revenue, Energy &amp; Facility, Operating Costs, Capital Structure &amp; Financing, Valuation. GS IB formatting.</t>
  </si>
  <si>
    <t>NEW sheet created</t>
  </si>
  <si>
    <t>New Notes Tab (Sheet 26)</t>
  </si>
  <si>
    <t>Full model documentation: overview, sheet guide, key observations, 5 benchmarking studies (rack price, GPU $/hr, electricity, energy/rack, tax relief), improvement plan, session log. 15 sections.</t>
  </si>
  <si>
    <t>Old Assumptions → Assumptions_OLD</t>
  </si>
  <si>
    <t>Original assumptions tab renamed and preserved for reference. All downstream links redirected to new Assumptions tab.</t>
  </si>
  <si>
    <t>Assumptions_OLD (renamed)</t>
  </si>
  <si>
    <t>Re-linked 6 Downstream Sheets</t>
  </si>
  <si>
    <t>Replaced hardcoded values with =Assumptions!Bxx formulas. DCF (12+ cells), Analysis (11+), IRR (4+), Incomes (1), Leasing (5+). All values verified unchanged post-linking.</t>
  </si>
  <si>
    <t>DCF, Analysis, IRR, Incomes, Leasing, Investment Metrics</t>
  </si>
  <si>
    <t>GS IB Formatting Applied</t>
  </si>
  <si>
    <t>8pt Arial, dark headers (#1F2937), light grey sections (#F2F2F2), blue inputs, green cross-sheet links, yellow key outputs, thin/double borders, #,##0 currency, 0.0% rates, (parentheses) for negatives.</t>
  </si>
  <si>
    <t>Assumptions, DCF, IRR, NPV Sensitivity, Investment Metrics</t>
  </si>
  <si>
    <t>MODEL FIXES (5 TOTAL)</t>
  </si>
  <si>
    <t>Fix #</t>
  </si>
  <si>
    <t>Original Model</t>
  </si>
  <si>
    <t>Changed To</t>
  </si>
  <si>
    <t>FIX 1: Tax Loss Carryforward</t>
  </si>
  <si>
    <t xml:space="preserve">  Tax treatment in DCF</t>
  </si>
  <si>
    <t>Flat 19% CIT on all positive EBIT from Year 1 onward. No recognition of accumulated losses from Year 0.</t>
  </si>
  <si>
    <t>NOL tracking: 3 new rows (Opening NOL, Utilized NOL, Taxable EBIT). Cumulative losses from Years 0-1 ($150.3M) now offset Years 2-3 taxable income.</t>
  </si>
  <si>
    <t>Year 2 tax: $16.5M → $0. Year 3 tax: $57.1M → $45.1M. ~$75M total tax savings recognized.</t>
  </si>
  <si>
    <t xml:space="preserve">  Sheet: DCF Analysis</t>
  </si>
  <si>
    <t>FIX 2: Maintenance &amp; GPU Refresh CapEx</t>
  </si>
  <si>
    <t xml:space="preserve">  Ongoing CapEx (Years 1-3)</t>
  </si>
  <si>
    <t>$0/year — no maintenance or replacement assumed</t>
  </si>
  <si>
    <t>$75M/year maintenance (~2% of initial CapEx)</t>
  </si>
  <si>
    <t>Reduces UFCF by $75M/yr (Years 1-3)</t>
  </si>
  <si>
    <t xml:space="preserve">  GPU Refresh Year 4 (2030)</t>
  </si>
  <si>
    <t>$200M (phased replacement begins)</t>
  </si>
  <si>
    <t>Reduces Year 4 UFCF by $275M total</t>
  </si>
  <si>
    <t xml:space="preserve">  GPU Refresh Year 5 (2031)</t>
  </si>
  <si>
    <t>$400M (accelerated replacement)</t>
  </si>
  <si>
    <t>Reduces Year 5 UFCF by $475M total</t>
  </si>
  <si>
    <t>FIX 3: GPU Price Escalation</t>
  </si>
  <si>
    <t xml:space="preserve">  Annual price escalation</t>
  </si>
  <si>
    <t>+5%/year (Incomes!J20 = 0.05). Year 5 GPU price = $3.83/hr (+28% vs. start).</t>
  </si>
  <si>
    <t>0% (flat at $3.00/hr). Market data shows GPU prices decline 40-50%/yr for mature hardware. 5% escalation reserved for bull scenario only.</t>
  </si>
  <si>
    <t>Eliminates ~$124M Year 5 revenue inflation. More defensible to investors.</t>
  </si>
  <si>
    <t xml:space="preserve">  Sheet: Incomes, Analysis, DCF</t>
  </si>
  <si>
    <t>FIX 4: DCF Terminal Value Method</t>
  </si>
  <si>
    <t xml:space="preserve">  Terminal value calculation</t>
  </si>
  <si>
    <t>Gordon Growth Model formula was populating the exit value cell, despite the model stating "EBITDA Multiple" as selected method.</t>
  </si>
  <si>
    <t>Exit Value = EBITDA Multiple (10×) × Year 5 EBITDA. Consistent with model's own stated selection. Gordon Growth retained as reference calculation.</t>
  </si>
  <si>
    <t>Terminal value now reflects selected methodology. Eliminates internal contradiction.</t>
  </si>
  <si>
    <t>FIX 5: P&amp;L/BS/CF Scenario Unification</t>
  </si>
  <si>
    <t xml:space="preserve">  P&amp;L revenue assumption</t>
  </si>
  <si>
    <t>100% GPU utilization all years. Revenue = full capacity × price × 365 days.</t>
  </si>
  <si>
    <t>Revenue × utilization rate from Assumptions (70% → 80% → 90%). Now matches Analysis/DCF scenario.</t>
  </si>
  <si>
    <t>2027 Rev: $968.8M → $678.2M (−30%). 2028: $968.8M → $775.0M (−20%). 2029+: $968.8M → $871.9M (−10%).</t>
  </si>
  <si>
    <t xml:space="preserve">  P&amp;L energy costs</t>
  </si>
  <si>
    <t>Full 130MW load regardless of utilization. Energy = 100% of nominal capacity.</t>
  </si>
  <si>
    <t>Energy scaled by utilization via Analysis realistic energy calculation (real MW × utilization × hrs × price).</t>
  </si>
  <si>
    <t>2027 energy: $162.1M → $103.3M. Reduces cost base proportionally.</t>
  </si>
  <si>
    <t xml:space="preserve">  Scenario label</t>
  </si>
  <si>
    <t>"⚠️ OPTIMISTIC SCENARIO — 100% GPU capacity utilization"</t>
  </si>
  <si>
    <t>"BASE CASE — Realistic GPU utilization (70%→80%→90%)"</t>
  </si>
  <si>
    <t>Updated on P&amp;L, BS, and CF sheets.</t>
  </si>
  <si>
    <t xml:space="preserve">  BS balance check</t>
  </si>
  <si>
    <t>Balanced (row 157 = 0 all years)</t>
  </si>
  <si>
    <t>Still balanced (row 157 = 0 all years). Verified post-change.</t>
  </si>
  <si>
    <t>✅ No balance sheet break.</t>
  </si>
  <si>
    <t xml:space="preserve">  CF reconciliation</t>
  </si>
  <si>
    <t>Flows correctly</t>
  </si>
  <si>
    <t>Still flows correctly. Cash turns slightly negative in Year 6 (2031) due to GPU refresh CapEx.</t>
  </si>
  <si>
    <t>✅ CF reconciles with P&amp;L and BS.</t>
  </si>
  <si>
    <t xml:space="preserve">  Sheets: P&amp;L, BS, CF</t>
  </si>
  <si>
    <t>KEY METRICS: BEFORE vs. AFTER</t>
  </si>
  <si>
    <t>Current Model</t>
  </si>
  <si>
    <t>~28% (est.)</t>
  </si>
  <si>
    <t>Lower due to CapEx additions and flat GPU pricing</t>
  </si>
  <si>
    <t>~55% (est.)</t>
  </si>
  <si>
    <t>Still attractive; leverage effect = +14.7 ppts</t>
  </si>
  <si>
    <t>Unlevered MOIC</t>
  </si>
  <si>
    <t>~2.8× (est.)</t>
  </si>
  <si>
    <t>2.03×</t>
  </si>
  <si>
    <t>Return of capital + 103% over 5 years</t>
  </si>
  <si>
    <t>~$5.5B (est.)</t>
  </si>
  <si>
    <t>$1.64B</t>
  </si>
  <si>
    <t>Significant reduction from CapEx + flat pricing + utilization ramp</t>
  </si>
  <si>
    <t>~$2.4B (est.)</t>
  </si>
  <si>
    <t>–$1.43B</t>
  </si>
  <si>
    <t>Negative — heavy debt ($3.07B) exceeds EV. Extends to positive with longer forecast.</t>
  </si>
  <si>
    <t>PV of Forecast FCF</t>
  </si>
  <si>
    <t>~–$1.4B</t>
  </si>
  <si>
    <t>–$2.32B</t>
  </si>
  <si>
    <t>Deeper negative due to ongoing CapEx ($75M/yr + $200M/$400M refresh)</t>
  </si>
  <si>
    <t>~$7.9B</t>
  </si>
  <si>
    <t>$3.96B</t>
  </si>
  <si>
    <t>Lower due to flat GPU pricing reducing Year 5 EBITDA</t>
  </si>
  <si>
    <t>Terminal Value % of EV</t>
  </si>
  <si>
    <t>~121%</t>
  </si>
  <si>
    <t>⚠️ Still a red flag. Extending forecast to 7–10 years is the fix.</t>
  </si>
  <si>
    <t>P&amp;L Revenue (2027)</t>
  </si>
  <si>
    <t>$968.8M (100% utilization)</t>
  </si>
  <si>
    <t>$678.2M (70% utilization)</t>
  </si>
  <si>
    <t>−30%. Now matches Analysis/DCF scenario.</t>
  </si>
  <si>
    <t>P&amp;L Revenue (2029+)</t>
  </si>
  <si>
    <t>$871.9M (90% utilization)</t>
  </si>
  <si>
    <t>−10%. Stable from Year 3 onward.</t>
  </si>
  <si>
    <t>P&amp;L EBITDA (2027)</t>
  </si>
  <si>
    <t>$781.6M</t>
  </si>
  <si>
    <t>$549.7M</t>
  </si>
  <si>
    <t>−30%. Revenue and energy both scaled by utilization.</t>
  </si>
  <si>
    <t>P&amp;L Net Profit (2031)</t>
  </si>
  <si>
    <t>$354.9M</t>
  </si>
  <si>
    <t>$303.3M</t>
  </si>
  <si>
    <t>−15%. Lower revenue partially offset by lower energy costs.</t>
  </si>
  <si>
    <t>REMAINING ITEMS (NOT YET STARTED)</t>
  </si>
  <si>
    <t>Why It Matters</t>
  </si>
  <si>
    <t>Extend forecast to 7–10 years</t>
  </si>
  <si>
    <t>Terminal value = 242% of EV. Extending captures out-year value creation when CapEx normalizes and FCF turns strongly positive.</t>
  </si>
  <si>
    <t>2-way sensitivity tables (WACC × Exit Multiple)</t>
  </si>
  <si>
    <t>Investor-ready: shows valuation range under different discount rate and exit assumptions. Quick to build now that Assumptions tab is centralized.</t>
  </si>
  <si>
    <t>Bull/Base/Bear variation analysis</t>
  </si>
  <si>
    <t>Model filename promises this. Key levers: utilization, GPU price, energy cost, exit multiples. Best done after forecast extension.</t>
  </si>
  <si>
    <t>Exit multiple sensitivity table (8×/10×/12×/15×)</t>
  </si>
  <si>
    <t>DC multiples range 8–25×. Current 10× is conservative. Need to show range.</t>
  </si>
  <si>
    <t>Revenue breakdown by customer type (contract vs. spot)</t>
  </si>
  <si>
    <t>Revenue credibility for due diligence.</t>
  </si>
  <si>
    <t>Charts (EBITDA waterfall, cumulative FCF, scenario comparison)</t>
  </si>
  <si>
    <t>Presentation quality for investor decks.</t>
  </si>
  <si>
    <t>Executive summary sheet</t>
  </si>
  <si>
    <t>One-page overview with key metrics, charts, and investment recommendation.</t>
  </si>
  <si>
    <t>Full formula audit &amp; cross-check</t>
  </si>
  <si>
    <t>Comprehensive check of all formulas, cell references, and circular dependency scan.</t>
  </si>
  <si>
    <t>✅ Base Case (70%→80%→90% util.)</t>
  </si>
  <si>
    <t>Reformatted DCF, IRR, NPV Sensitivity, Investment Metrics to GS IB standards</t>
  </si>
  <si>
    <t>Applied 8pt Arial, dark title headers, light grey sections, yellow key output highlights, thin/double borders, proper number formats (#,##0, 0.0%, 0.00x). Verified all values unchanged (formatting only, no data changes).</t>
  </si>
  <si>
    <t>Unified P&amp;L/BS/CF with realistic utilization scenario</t>
  </si>
  <si>
    <t>P&amp;L revenue × utilization (70%→80%→90% from Assumptions). Energy costs scaled via Analysis realistic calc. BS balance verified (row 157 = 0). CF cascaded. Labels updated from 'OPTIMISTIC' to 'BASE CASE'. Added Section 15 (Summary of All Changes) to Notes.</t>
  </si>
  <si>
    <t>Przychody przy 100% wykorzystaniu</t>
  </si>
  <si>
    <t>Revenue at full capacity (100% utilization)</t>
  </si>
  <si>
    <t>Przychody netto ze sprzedaży produktów (po wykorzystaniu)</t>
  </si>
  <si>
    <t>Net revenue from sales of products (utilization-adjusted)</t>
  </si>
  <si>
    <t>Stopień wykorzystania GPU (%)</t>
  </si>
  <si>
    <t>GPU utilization rate (%)</t>
  </si>
  <si>
    <t xml:space="preserve">   Wkład kapitałowy (equity)</t>
  </si>
  <si>
    <t xml:space="preserve">   Equity contribution (derived)</t>
  </si>
  <si>
    <t xml:space="preserve">   % łącznych nakładów CAPEX</t>
  </si>
  <si>
    <t xml:space="preserve">   % of total CAPEX</t>
  </si>
  <si>
    <t>Plant 1 - At nominal capacity</t>
  </si>
  <si>
    <t>Plant 1 - At real usage</t>
  </si>
  <si>
    <t>Costs of materials</t>
  </si>
  <si>
    <t>Energy</t>
  </si>
  <si>
    <t>Note: Uses realistic GPU utilization (70%→80%→90%) from Analysis sheet. Tax relief of USD 3.8M / year included.</t>
  </si>
  <si>
    <t>Tax relief of USD 3.8m / year</t>
  </si>
  <si>
    <t>Other cpaex items (land, building, etc.)</t>
  </si>
  <si>
    <t>Annual maintenance Capex and GPU refresh</t>
  </si>
  <si>
    <t>Maintenance Capex</t>
  </si>
  <si>
    <t>GPU Refresh</t>
  </si>
  <si>
    <t>5a. WORKING CAPITAL</t>
  </si>
  <si>
    <t>Inventory Turnover (days)</t>
  </si>
  <si>
    <t>No physical inventory held (GPU-as-a-service)</t>
  </si>
  <si>
    <t>Receivables Turnover (days)</t>
  </si>
  <si>
    <t>Payables Turnover (days)</t>
  </si>
  <si>
    <t>Cash Conversion Cycle (days)</t>
  </si>
  <si>
    <t>Inventory + Receivables − Payables</t>
  </si>
  <si>
    <t>Working capital assumptions</t>
  </si>
  <si>
    <t>16. ITEMS TO CHECK WITH THE TEAM / THIRD PARTY</t>
  </si>
  <si>
    <t>NOL carryforward (opening)</t>
  </si>
  <si>
    <t>NOL utilized</t>
  </si>
  <si>
    <t>Facility Maintenance (OpEx)</t>
  </si>
  <si>
    <t xml:space="preserve">  Equipment Maintenance CapEx ($)</t>
  </si>
  <si>
    <t>Facility Maintenance (annual, $)</t>
  </si>
  <si>
    <t xml:space="preserve">  Year 3+ (2029-2035)</t>
  </si>
  <si>
    <t>Year 0 through Year 9</t>
  </si>
  <si>
    <t>EBITDA 2035</t>
  </si>
  <si>
    <t>Rack price and ancillary costs</t>
  </si>
  <si>
    <t>Flat pricing; 5% for Bull Case, 0% Base Case, (2)% Bear Case</t>
  </si>
  <si>
    <t>17. ENERGY PRICE ESCALATION ANALYSIS (Assumptions!B32)</t>
  </si>
  <si>
    <t>Current assumption: 4.5% annual escalation on base electricity price of $130/MWh (Assumptions!B31).</t>
  </si>
  <si>
    <t>This section documents market research supporting or challenging this assumption.</t>
  </si>
  <si>
    <t>NEAR-TERM OUTLOOK (2025–2027): Volatile but trending down</t>
  </si>
  <si>
    <t>• Poland electricity prices were 20% higher in H1 2025 vs H1 2024, but this reflects government price freeze unwinding, not structural cost increases.</t>
  </si>
  <si>
    <t>• Enea CEO (Oct 2025): electricity prices in 2026 could reach ~540 PLN/MWh.</t>
  </si>
  <si>
    <t>• Energy Minister Motyka: expects prices to drop below 500 PLN/MWh in 2026; no further need for price caps.</t>
  </si>
  <si>
    <t>• Power distribution tariffs (incl. renewables/capacity market fees) set to increase ~7.6% in 2026 (regulator, Dec 2025).</t>
  </si>
  <si>
    <t>Source: Notes from Poland (Oct 2025), Bloomberg (Dec 2025), OilPrice.com (Sep 2025)</t>
  </si>
  <si>
    <t>MEDIUM-TERM OUTLOOK (2028–2035): Structural downward pressure from renewables</t>
  </si>
  <si>
    <t>• Renewable energy sources projected to supply ~50% of Poland's electricity by 2035 (Arthur D. Little, 2026).</t>
  </si>
  <si>
    <t>• Solar PV capacity forecast: 21.2 GW (2024) → 59.1 GW (2035), nearly tripling (GlobalData, Jan 2026).</t>
  </si>
  <si>
    <t>• Offshore wind enters system from 2026, projected to reach 12.3 GW by 2035 (GlobalData).</t>
  </si>
  <si>
    <t>• Poland's NECP targets 51.8% renewables in electricity generation by 2030, 79.8% by 2040 (Enerdata, Jul 2025).</t>
  </si>
  <si>
    <t>• Coal capacity expected to decline from 32.2 GW (2024) to 20.5 GW (2035) due to EU ETS costs and aging fleet.</t>
  </si>
  <si>
    <t>Source: Arthur D. Little Poland Energy Outlook 2026, GlobalData Power Market Report (Jan 2026), Enerdata NECP (Jul 2025)</t>
  </si>
  <si>
    <t>UPWARD PRESSURE FACTORS:</t>
  </si>
  <si>
    <t>• Demand surge: Poland's net electricity consumption expected to grow from 154 TWh (2024) to 210–230 TWh by 2040 (CAGR 1.9–2.5%).</t>
  </si>
  <si>
    <t>• EU ETS carbon pricing continues rising, accelerating coal retirements but adding cost to gas-fired generation.</t>
  </si>
  <si>
    <t>• Grid investment costs: €650–670B needed for 2025–2040 energy transition (Arthur D. Little).</t>
  </si>
  <si>
    <t>• Data center demand growth in CEE region adding incremental load.</t>
  </si>
  <si>
    <t>SCENARIO ANALYSIS:</t>
  </si>
  <si>
    <t xml:space="preserve">  Bull (for project):   2.0–2.5%   Massive renewable buildout → wholesale prices flat/down; escalation ≈ inflation only</t>
  </si>
  <si>
    <t xml:space="preserve">  Base:                 3.0–3.5%   Renewable buildout offset by rising demand, grid costs, carbon pricing</t>
  </si>
  <si>
    <t xml:space="preserve">  Bear (for project):   4.5–5.0%   Slow transition, high carbon costs, grid bottlenecks, demand surge</t>
  </si>
  <si>
    <t>CONCLUSION:</t>
  </si>
  <si>
    <t>The current 4.5% assumption is essentially the bear case for the project (higher energy = lower margins).</t>
  </si>
  <si>
    <t>A base case of 3.0–3.5% would be more aligned with consensus that Poland's renewable expansion will moderate wholesale price growth.</t>
  </si>
  <si>
    <t>For large industrial consumers (112 MW continuous), long-term PPAs with renewable developers could lock in 2–3% escalation.</t>
  </si>
  <si>
    <t>RECOMMENDATION:</t>
  </si>
  <si>
    <t>Keep 4.5% as conservative base case. Test 2.5% (bull) and 3.5% (moderate) in sensitivity/scenario analysis.</t>
  </si>
  <si>
    <t>Consider negotiating a long-term PPA as part of project development to de-risk energy costs.</t>
  </si>
  <si>
    <t>Research date: March 2026. Sources: Arthur D. Little, GlobalData, Bloomberg, Enerdata, Notes from Poland, OilPrice.com.</t>
  </si>
  <si>
    <t>Staff and ancillary costs</t>
  </si>
  <si>
    <t>18. WORKING CAPITAL ASSUMPTIONS ANALYSIS (Assumptions!B55:B59)</t>
  </si>
  <si>
    <t>Current assumptions: Inventory 0 days, Receivables 30 days, Payables 45 days → CCC = -15 days.</t>
  </si>
  <si>
    <t>This section benchmarks working capital turnover against GPU cloud / data center industry norms.</t>
  </si>
  <si>
    <t>RECEIVABLES (DSO) — Updated from 60 to 30 days</t>
  </si>
  <si>
    <t>GPU-as-a-Service customers typically pay via prepaid credits, usage deposits, or monthly billing with short terms.</t>
  </si>
  <si>
    <t>• Prepaid credits / usage deposits (hyperscalers, AI startups): effectively 0 days DSO.</t>
  </si>
  <si>
    <t>• Monthly billing with net-15 or net-30 terms (enterprise contracts): 15–30 days DSO.</t>
  </si>
  <si>
    <t>• Reserved capacity contracts with quarterly prepayment: negative DSO (collect before delivering).</t>
  </si>
  <si>
    <t>Industry benchmarks (DSO):</t>
  </si>
  <si>
    <t>• Equinix: ~30 days</t>
  </si>
  <si>
    <t>• Digital Realty: ~25 days</t>
  </si>
  <si>
    <t>• AWS / Azure / GCP (hyperscale): ~30–45 days</t>
  </si>
  <si>
    <t>• CoreWeave (GPU cloud): ~15–30 days (prepaid model)</t>
  </si>
  <si>
    <t>Realistic range for this project: 20–35 days. Model uses 30 days (mid-range, conservative for new operation).</t>
  </si>
  <si>
    <t>PAYABLES (DPO) — Updated from 30 to 45 days</t>
  </si>
  <si>
    <t>At $4.3B total investment, this project has significant leverage to negotiate extended payment terms.</t>
  </si>
  <si>
    <t>• Energy suppliers: typically net-30 to net-60.</t>
  </si>
  <si>
    <t>• Maintenance vendors: net-30 to net-45.</t>
  </si>
  <si>
    <t>• Equipment parts / supplies: net-30 to net-60.</t>
  </si>
  <si>
    <t>Realistic range: 30–60 days. Model uses 45 days (mid-range).</t>
  </si>
  <si>
    <t>NET IMPACT vs. PRIOR ASSUMPTIONS:</t>
  </si>
  <si>
    <t>• Prior: 60-day receivables, 30-day payables → CCC = +30 days (cash tied up in working capital).</t>
  </si>
  <si>
    <t>• Updated: 30-day receivables, 45-day payables → CCC = -15 days (working capital is a source of cash).</t>
  </si>
  <si>
    <t>• BS impact: receivables reduced by ~$72M; payables increased; net cash position improves.</t>
  </si>
  <si>
    <t>• A negative CCC is common for cloud/subscription businesses with prepaid or short-term billing models.</t>
  </si>
  <si>
    <t>Current 30/45 split is a reasonable base case for a new operation. Could improve to 15/60 as customer base matures.</t>
  </si>
  <si>
    <t>Inventory at 0 days is appropriate — GPU cloud has no physical inventory (hardware is capitalized as PPE, not WC).</t>
  </si>
  <si>
    <t>Research date: March 2026. Benchmarks from public filings: Equinix 10-K, Digital Realty 10-K, CoreWeave S-1.</t>
  </si>
  <si>
    <t>30 days; industry range 15-35. See Notes Section 18</t>
  </si>
  <si>
    <t>45 days; industry range 30-60. See Notes Section 18</t>
  </si>
  <si>
    <t>2%-2.5% Bull, 3%-3.5% Base, 4%-4.5% Bear. See Notes Section 17</t>
  </si>
  <si>
    <t>Equipment maintenance and refresh capex</t>
  </si>
  <si>
    <t>Net CF (pre-equity)</t>
  </si>
  <si>
    <t>Cumulative CF</t>
  </si>
  <si>
    <t>Required Equity (peak deficit + 5% buffer)</t>
  </si>
  <si>
    <t>Auto-sized: covers peak cumulative deficit + 5% buffer (see row 117)</t>
  </si>
  <si>
    <t>(-) Net Debt (Debt − Cash, Year 0)</t>
  </si>
  <si>
    <t xml:space="preserve">  Operating CF</t>
  </si>
  <si>
    <t xml:space="preserve">  Investing CF</t>
  </si>
  <si>
    <t xml:space="preserve">  Financing CF (excl. equity)</t>
  </si>
  <si>
    <t>EQUITY SIZING (Auto-calculated)</t>
  </si>
  <si>
    <t>Pre-equity cash flows sourced from CF (excl. equity injection):</t>
  </si>
  <si>
    <t>19. DEPRECIATION ASSUMPTIONS ANALYSIS (Assumptions!B84:B90)</t>
  </si>
  <si>
    <t>Current model uses declining balance method. Industry analysis suggests potential switch to straight-line, particularly for GPUs.</t>
  </si>
  <si>
    <t>CURRENT MODEL DEPRECIATION RATES:</t>
  </si>
  <si>
    <t>Method: Declining balance (assets never fully depreciate; residual book value persists indefinitely).</t>
  </si>
  <si>
    <t>Asset Class</t>
  </si>
  <si>
    <t>Rate (DB)</t>
  </si>
  <si>
    <t>NBV after 5 yrs</t>
  </si>
  <si>
    <t>NBV after 10 yrs</t>
  </si>
  <si>
    <t>R&amp;D / Intangibles</t>
  </si>
  <si>
    <t>Other Intangibles</t>
  </si>
  <si>
    <t>Land</t>
  </si>
  <si>
    <t>Buildings</t>
  </si>
  <si>
    <t>Equipment &amp; Machinery (GPUs)</t>
  </si>
  <si>
    <t>Vehicles / Other Tangible</t>
  </si>
  <si>
    <t>KEY CONCERN:</t>
  </si>
  <si>
    <t>Equipment &amp; Machinery at 20% declining balance is too slow for GPUs. At this rate, $3.07B of GPUs still carry $966M (31%) book value in Year 9 — they never fully depreciate. This contradicts GPU economic reality (3–6 year effective lifespan) and misaligns with the model's own GPU refresh CapEx in Years 4–5.</t>
  </si>
  <si>
    <t>INDUSTRY BENCHMARKS — GPU/SERVER DEPRECIATION (as of early 2026):</t>
  </si>
  <si>
    <t>All major operators use straight-line depreciation (not declining balance). Useful life estimates:</t>
  </si>
  <si>
    <t>Company</t>
  </si>
  <si>
    <t>Type</t>
  </si>
  <si>
    <t>Useful Life</t>
  </si>
  <si>
    <t>AWS (Amazon)</t>
  </si>
  <si>
    <t>Hyperscaler</t>
  </si>
  <si>
    <t>5 years (reduced from 6, Jan 2025)</t>
  </si>
  <si>
    <t>10-Q filing, Feb 2025</t>
  </si>
  <si>
    <t>Microsoft Azure</t>
  </si>
  <si>
    <t>2–6 years (range per 10-K)</t>
  </si>
  <si>
    <t>Annual 10-K filing</t>
  </si>
  <si>
    <t>Google / Alphabet</t>
  </si>
  <si>
    <t>6 years</t>
  </si>
  <si>
    <t>10-K filing</t>
  </si>
  <si>
    <t>Meta</t>
  </si>
  <si>
    <t>5.5 years</t>
  </si>
  <si>
    <t>10-K filing, 2025 update</t>
  </si>
  <si>
    <t>CoreWeave</t>
  </si>
  <si>
    <t>Neocloud (GPU)</t>
  </si>
  <si>
    <t>S-1 IPO filing</t>
  </si>
  <si>
    <t>Lambda Labs</t>
  </si>
  <si>
    <t>5 years</t>
  </si>
  <si>
    <t>Company filings</t>
  </si>
  <si>
    <t>Nebius</t>
  </si>
  <si>
    <t>4 years</t>
  </si>
  <si>
    <t>IREN (Iris Energy)</t>
  </si>
  <si>
    <t>~3 years (implied by lease terms)</t>
  </si>
  <si>
    <t>Press release, Aug 2025</t>
  </si>
  <si>
    <t>Michael Burry (bear case)</t>
  </si>
  <si>
    <t>Investor thesis</t>
  </si>
  <si>
    <t>2–3 years</t>
  </si>
  <si>
    <t>Public statements, Nov 2025</t>
  </si>
  <si>
    <t>KEY MARKET DEVELOPMENTS:</t>
  </si>
  <si>
    <t>• AWS reversed its depreciation trend in Jan 2025, cutting server useful life from 6 to 5 years for AI-focused hardware, citing 'increased pace of technology development, particularly in the area of AI and machine learning.' This resulted in a $700M operating income hit for 2025, plus $920M in accelerated depreciation on early-retired equipment in Q4 2024.</t>
  </si>
  <si>
    <t>• Industry consensus is converging on 5–6 years for general servers, but pure-play GPU clouds (Nebius, Lambda) use shorter 4–5 year schedules reflecting faster GPU obsolescence cycles. Nvidia now releases new chip architectures annually (vs. prior 18–24 month cadence), compressing the competitive lifespan of each generation.</t>
  </si>
  <si>
    <t>• The 'value cascade' theory supports longer lives: GPUs used for frontier training in Years 1–2 can be redeployed for inference in Years 3–4, then batch/throughput workloads in Years 5–6. Azure's actual hardware retirement data shows Nvidia K80/P100/P40 GPUs (launched 2014–2016) were only retired in Aug/Sep 2023, implying 7–9 year service lives. However, this predates the current annual chip release cadence.</t>
  </si>
  <si>
    <t>• A componentised approach is recommended: separate GPU modules (3.5–4.5 year useful life) from longer-lived infrastructure (chassis, networking, power distribution, cooling: 6–8 years). GAAP ASC 360 and IAS 16 both explicitly permit component depreciation when components have materially different useful lives.</t>
  </si>
  <si>
    <t>RECOMMENDATION FOR THIS MODEL:</t>
  </si>
  <si>
    <t>Switch Equipment &amp; Machinery from 20% declining balance to straight-line over 5 years. This is a conservative middle-ground between AWS (5yr) and hyperscaler consensus (6yr), and ensures GPUs are fully depreciated before/during the GPU refresh CapEx in Years 4–5.</t>
  </si>
  <si>
    <t>Current (DB)</t>
  </si>
  <si>
    <t>Proposed (SL)</t>
  </si>
  <si>
    <t>Rationale</t>
  </si>
  <si>
    <t>20% DB</t>
  </si>
  <si>
    <t>5-year SL (20%/yr)</t>
  </si>
  <si>
    <t>AWS 5yr, Nebius 4yr, CoreWeave 6yr → 5yr is conservative mid-point. Fully depreciates before GPU refresh.</t>
  </si>
  <si>
    <t>5% DB</t>
  </si>
  <si>
    <t>20-year SL (5%/yr)</t>
  </si>
  <si>
    <t>DC buildings have 20–30+ year useful lives. 20yr is reasonable for purpose-built facility.</t>
  </si>
  <si>
    <t>10% DB</t>
  </si>
  <si>
    <t>Software/licenses in tech sector typically 3–5 year useful life.</t>
  </si>
  <si>
    <t>0% (no change)</t>
  </si>
  <si>
    <t>Land is not depreciated under any standard.</t>
  </si>
  <si>
    <t>30% DB</t>
  </si>
  <si>
    <t>Keep as-is or 4yr SL</t>
  </si>
  <si>
    <t>Small items, immaterial impact on model.</t>
  </si>
  <si>
    <t>EXPECTED MODEL IMPACT (if implemented):</t>
  </si>
  <si>
    <t>• D&amp;A expense increases in Years 1–5 (straight-line front-loads more depreciation vs. declining balance in later years).</t>
  </si>
  <si>
    <t>• GPUs reach $0 book value by end of Year 5, eliminating residual NBV of ~$966M that currently sits on BS in Year 9.</t>
  </si>
  <si>
    <t>• P&amp;L: Higher D&amp;A → lower EBIT → lower tax → partially offsetting impact on net income.</t>
  </si>
  <si>
    <t>• CF: No cash impact (depreciation is non-cash). However, tax shield effect changes timing of cash taxes.</t>
  </si>
  <si>
    <t>• BS: Lower PPE carrying values. Retained earnings path changes. Balance sheet must be re-verified after implementation.</t>
  </si>
  <si>
    <t>• DCF/IRR: Unlevered FCF unchanged (D&amp;A is added back), but terminal value may change if exit EBITDA multiple is applied to a different EBITDA.</t>
  </si>
  <si>
    <t>STATUS: Analysis complete. Implementation deferred — awaiting decision to proceed.</t>
  </si>
  <si>
    <t>Research date: March 2026. Sources: AWS 10-Q (Feb 2025), CoreWeave S-1, Nebius filings, SiliconANGLE/theCUBE Research (Nov 2025), CNBC (Nov 2025), Stanley Laman Group analysis, APC/Schneider Electric white paper.</t>
  </si>
  <si>
    <t>20. VALUATION ASSUMPTIONS ANALYSIS (Assumptions!B93:B96)</t>
  </si>
  <si>
    <t>Review of WACC, terminal growth rate, and exit EV/EBITDA multiple used in DCF Analysis.</t>
  </si>
  <si>
    <t>CURRENT MODEL ASSUMPTIONS:</t>
  </si>
  <si>
    <t>Used In</t>
  </si>
  <si>
    <t>Current Note</t>
  </si>
  <si>
    <t>DCF discount factors (mid-year convention)</t>
  </si>
  <si>
    <t>Hardcoded input</t>
  </si>
  <si>
    <t>Gordon Growth Model perpetuity (Method 2)</t>
  </si>
  <si>
    <t>Standard long-term inflation proxy</t>
  </si>
  <si>
    <t>10×</t>
  </si>
  <si>
    <t>Terminal value at exit (Method 1, selected)</t>
  </si>
  <si>
    <t>Note says 'Data center range: 10-15×'</t>
  </si>
  <si>
    <t>Selected TV Method</t>
  </si>
  <si>
    <t>DCF terminal value</t>
  </si>
  <si>
    <t>Applied to Year 9 EBITDA</t>
  </si>
  <si>
    <t>1. WACC AT 8% — LOW-END BUT DEFENSIBLE:</t>
  </si>
  <si>
    <t>For a project finance DCF (single-asset, greenfield GPU data center in Poland), 8% is at the lower end of the reasonable range.</t>
  </si>
  <si>
    <t>Bottom-up WACC build:</t>
  </si>
  <si>
    <t>• Risk-free rate: Polish 10-year government bonds ~5.5–6% (vs. US Treasuries ~4.2%). Poland carries higher sovereign risk than Western Europe.</t>
  </si>
  <si>
    <t>• Cost of debt: 6% (model input, Assumptions!B76). Reasonable for secured infrastructure debt benchmarked against Equinix/CyrusOne/DLR credit facilities.</t>
  </si>
  <si>
    <t>• Cost of equity: For a single-asset GPU DC with technology risk, concentration risk, and CEE country risk, PE infrastructure investors would demand 12–18%.</t>
  </si>
  <si>
    <t>• Capital structure: ~84% debt / 16% equity (per model). Heavily levered → WACC is weighted towards lower cost of debt.</t>
  </si>
  <si>
    <t>2. TERMINAL GROWTH RATE AT 2% — REASONABLE:</t>
  </si>
  <si>
    <t>• Long-term GDP growth in Poland: ~2.5–3% nominal.</t>
  </si>
  <si>
    <t>• ECB inflation target: ~2%.</t>
  </si>
  <si>
    <t>• Standard DCF convention for terminal growth: 1.5–3%.</t>
  </si>
  <si>
    <t>• Data center demand growth is much higher near-term, but terminal rate should reflect long-run steady-state, not current cycle.</t>
  </si>
  <si>
    <t>• 2% is conservative relative to sector growth but appropriate for a perpetuity assumption.</t>
  </si>
  <si>
    <t>Assessment: No change needed. 2% is a standard, defensible assumption.</t>
  </si>
  <si>
    <t>3. EXIT MULTIPLE (EV/EBITDA) AT 10× — SIGNIFICANTLY BELOW MARKET:</t>
  </si>
  <si>
    <t>Public data center EV/EBITDA multiples (as of late 2025):</t>
  </si>
  <si>
    <t>EV/EBITDA</t>
  </si>
  <si>
    <t>~26×</t>
  </si>
  <si>
    <t>Interconnected DC REIT, 260+ facilities</t>
  </si>
  <si>
    <t>KoalaGains / public data, Oct 2025</t>
  </si>
  <si>
    <t>~18–22×</t>
  </si>
  <si>
    <t>Wholesale/colo DC REIT, 300+ facilities</t>
  </si>
  <si>
    <t>Seeking Alpha analysis, Dec 2025</t>
  </si>
  <si>
    <t>Iron Mountain (IRM)</t>
  </si>
  <si>
    <t>~20–24×</t>
  </si>
  <si>
    <t>Diversified REIT with DC segment</t>
  </si>
  <si>
    <t>Public filings</t>
  </si>
  <si>
    <t>DC REIT sector avg</t>
  </si>
  <si>
    <t>~20–25×</t>
  </si>
  <si>
    <t>Weighted average AFFO multiple ~23×</t>
  </si>
  <si>
    <t>Chilton Capital, Jul 2025</t>
  </si>
  <si>
    <t>CoreWeave (CRWV)</t>
  </si>
  <si>
    <t>N/A (pre-profit)</t>
  </si>
  <si>
    <t>GPU neocloud, recently IPO'd</t>
  </si>
  <si>
    <t>No meaningful EBITDA multiple yet</t>
  </si>
  <si>
    <t>M&amp;A transactions</t>
  </si>
  <si>
    <t>12–20×</t>
  </si>
  <si>
    <t>DC acquisitions (private market)</t>
  </si>
  <si>
    <t>CBRE DC Investor Survey 2025</t>
  </si>
  <si>
    <t>Reasons for a discount vs. public comps:</t>
  </si>
  <si>
    <t>• Single asset vs. diversified portfolio — no portfolio diversification benefit.</t>
  </si>
  <si>
    <t>• No interconnection ecosystem — the premium for EQIX/DLR comes from network effects and switching costs that this project lacks.</t>
  </si>
  <si>
    <t>• Technology obsolescence risk — GPU DCs face faster asset degradation than traditional colocation. By Year 9, the original GPUs are 9 years old.</t>
  </si>
  <si>
    <t>• Poland location — emerging market discount vs. US/Western Europe prime locations (NoVA, Frankfurt, London, Amsterdam).</t>
  </si>
  <si>
    <t>• No public market liquidity — private single-asset exits typically trade at 20–40% discount to public comps.</t>
  </si>
  <si>
    <t>However, even with all discounts applied, 10× is at the very bottom of the range:</t>
  </si>
  <si>
    <t>• Public comp average ~20–25×, minus 30–40% illiquidity/single-asset discount = ~12–17×.</t>
  </si>
  <si>
    <t>• Private DC M&amp;A transactions typically close at 12–20× EV/EBITDA.</t>
  </si>
  <si>
    <t>Assessment: 10× is conservative. Suggest 14× as base case, 10× as bear case, 18× as bull case.</t>
  </si>
  <si>
    <t>INTERNAL CONSISTENCY NOTE:</t>
  </si>
  <si>
    <t>The current combination of 8% WACC (optimistic) with 10× exit multiple (pessimistic) creates internal tension. The discount rate assumes relatively low risk, but the exit multiple prices in significant risk. More internally consistent pairings:</t>
  </si>
  <si>
    <t>Terminal Growth</t>
  </si>
  <si>
    <t>Bull Case</t>
  </si>
  <si>
    <t>18×</t>
  </si>
  <si>
    <t>Base Case</t>
  </si>
  <si>
    <t>9–10%</t>
  </si>
  <si>
    <t>14×</t>
  </si>
  <si>
    <t>Bear Case</t>
  </si>
  <si>
    <t>• Terminal growth at 2%: No change needed.</t>
  </si>
  <si>
    <t>• WACC: Consider increasing to 9–10% for base case to reflect single-asset, greenfield, and Poland country risk.</t>
  </si>
  <si>
    <t>• Exit multiple: Consider increasing to 14× for base case. Current 10× is below even private market M&amp;A transactions for data centers. The existing NPV Sensitivity tab can be used to show impact across a range of multiples and discount rates.</t>
  </si>
  <si>
    <t>• At minimum, align the risk posture: either optimistic on both (8% WACC + 14–18× multiple) or conservative on both (10–12% WACC + 10× multiple).</t>
  </si>
  <si>
    <t>STATUS: Analysis complete. No changes made to model — awaiting decision on whether to adjust WACC and/or exit multiple.</t>
  </si>
  <si>
    <t>Research date: March 2026. Sources: Equinix Q4 2025 earnings (DCD), CBRE 2025 DC Investor Intentions Survey, Chilton Capital DC REIT analysis (Aug 2025), KoalaGains EQIX analysis (Oct 2025), Seeking Alpha DLR/EQIX comp (Dec 2025), Damodaran WACC dataset (Jan 2026).</t>
  </si>
  <si>
    <t>8% (bull) / 9–10% (base) / 12% (bear)</t>
  </si>
  <si>
    <t>10× (bear) / 14× (base) / 18× (bull)</t>
  </si>
  <si>
    <t>Note: Based on realistic GPU utilization scenario. Exit Value uses EBITDA Multiple method (see Assumptions!B95).</t>
  </si>
  <si>
    <t>Note: Year 9 includes Exit Value based on EBITDA Multiple method (see Assumptions!B95). Tax relief included.</t>
  </si>
  <si>
    <t>Cumulative CF at Year 9</t>
  </si>
  <si>
    <t>Cumulative CF to Equity at Year 9</t>
  </si>
  <si>
    <t>EXECUTIVE SUMMARY — GPU Data Center Investment (Vera Rubin, Poland)</t>
  </si>
  <si>
    <t>Base Case — Realistic GPU utilization (70%→80%→90%). All figures in USD unless stated. 10-year projection (2026–2035).</t>
  </si>
  <si>
    <t>INVESTMENT OVERVIEW</t>
  </si>
  <si>
    <t xml:space="preserve">  Equity Investment</t>
  </si>
  <si>
    <t xml:space="preserve">  Debt Financing</t>
  </si>
  <si>
    <t xml:space="preserve">  Debt / Total Capital</t>
  </si>
  <si>
    <t xml:space="preserve">  Cost of Debt</t>
  </si>
  <si>
    <t xml:space="preserve">  Debt Repayment Term</t>
  </si>
  <si>
    <t>KEY RETURN METRICS</t>
  </si>
  <si>
    <t>← Project return</t>
  </si>
  <si>
    <t>← Return to equity</t>
  </si>
  <si>
    <t>IRR Spread (Leverage Benefit)</t>
  </si>
  <si>
    <t>MOIC — Unlevered (Total Capital)</t>
  </si>
  <si>
    <t>← Total returns / invested</t>
  </si>
  <si>
    <t>MOIC — Levered (Equity Only)</t>
  </si>
  <si>
    <t>← Returns to equity / equity</t>
  </si>
  <si>
    <t>Levered Payback Period (Equity)</t>
  </si>
  <si>
    <t>Value vs Equity Investment</t>
  </si>
  <si>
    <t>OPERATING SUMMARY (10-YEAR PROJECTION)</t>
  </si>
  <si>
    <t>(USD)</t>
  </si>
  <si>
    <t>Yr 0</t>
  </si>
  <si>
    <t>Yr 1</t>
  </si>
  <si>
    <t>Yr 2</t>
  </si>
  <si>
    <t>Yr 3</t>
  </si>
  <si>
    <t>Yr 4</t>
  </si>
  <si>
    <t>Yr 5</t>
  </si>
  <si>
    <t>Yr 6</t>
  </si>
  <si>
    <t>Yr 7</t>
  </si>
  <si>
    <t>Yr 8</t>
  </si>
  <si>
    <t>Yr 9</t>
  </si>
  <si>
    <t>Revenue</t>
  </si>
  <si>
    <t>EBIT (Operating Profit)</t>
  </si>
  <si>
    <t xml:space="preserve">  EBITDA Margin</t>
  </si>
  <si>
    <t>Net Income</t>
  </si>
  <si>
    <t>Operating Cash Flow</t>
  </si>
  <si>
    <t>Cash Balance (End of Period)</t>
  </si>
  <si>
    <t>PROJECT OVERVIEW</t>
  </si>
  <si>
    <t>Project</t>
  </si>
  <si>
    <t>Greenfield GPU Data Center — NVIDIA Vera Rubin (NVL72) Architecture</t>
  </si>
  <si>
    <t>Location</t>
  </si>
  <si>
    <t>Facility</t>
  </si>
  <si>
    <t>112 MW real capacity, 130 MW nominal</t>
  </si>
  <si>
    <t>GPU Configuration</t>
  </si>
  <si>
    <t>Projection Period</t>
  </si>
  <si>
    <t>10 years (2026–2035), Year 0 through Year 9</t>
  </si>
  <si>
    <t>USD (primary); PLN for local costs at 3.2 FX rate</t>
  </si>
  <si>
    <t>GPU Utilization Ramp</t>
  </si>
  <si>
    <t>Year 1: 70% → Year 2: 80% → Year 3–9: 90%</t>
  </si>
  <si>
    <t>Thesis</t>
  </si>
  <si>
    <t>Large-scale AI compute infrastructure positioned to capture growing GPU-as-a-Service</t>
  </si>
  <si>
    <t>demand. Debt-heavy capital structure (79% LTV) amplifies equity returns. Revenue scales</t>
  </si>
  <si>
    <t>with 90% steady-state utilization from Year 3, generating ~$680M+ annual EBITDA at maturity.</t>
  </si>
  <si>
    <t>CAPITAL EXPENDITURE PROJECTIONS</t>
  </si>
  <si>
    <t>Initial CapEx (Land, Buildings, GPUs)</t>
  </si>
  <si>
    <t>Maintenance CapEx</t>
  </si>
  <si>
    <t>GPU Refresh CapEx</t>
  </si>
  <si>
    <t>Total CapEx</t>
  </si>
  <si>
    <t xml:space="preserve">  D&amp;A (Depreciation)</t>
  </si>
  <si>
    <t>Cumulative CapEx</t>
  </si>
  <si>
    <t>Note: NPV calculated using realistic GPU utilization (70%→80%→90%) with Exit Value (EBITDA 14×).</t>
  </si>
  <si>
    <t>Straight-line, ~11.1%/year (9-year term)</t>
  </si>
  <si>
    <t>21. COMPREHENSIVE CHANGE LOG — SESSIONS 11–14 (March 2026)</t>
  </si>
  <si>
    <t>Summary of all changes made during the latest round of model refinement. Covers: formula audit, 10-year extension, assumption updates, equity sizing, Executive Summary creation, and GS IB reformatting.</t>
  </si>
  <si>
    <t>A. 10-YEAR FORECAST EXTENSION</t>
  </si>
  <si>
    <t>Extended all 13 calculation sheets from 6 years (2026–2031) to 10 years (2026–2035).</t>
  </si>
  <si>
    <t>Rationale: Original 6-year forecast placed ~121% of enterprise value in terminal value — a red flag for investors.</t>
  </si>
  <si>
    <t>10-year forecast captures the full debt repayment cycle (9 years) and shows stabilized FCF before exit.</t>
  </si>
  <si>
    <t>Sheets extended: Incomes, Costs, P&amp;L, BS, CF, NWC, D&amp;A CAPEX, Analysis, Financing, DCF, IRR, Investment Metrics, NPV Sensitivity.</t>
  </si>
  <si>
    <t>B. KEY ASSUMPTION CHANGES</t>
  </si>
  <si>
    <t>Original</t>
  </si>
  <si>
    <t>Updated</t>
  </si>
  <si>
    <t>Debt repayment term</t>
  </si>
  <si>
    <t>9 years</t>
  </si>
  <si>
    <t>Matches 10yr forecast; avoids cash squeeze during GPU refresh. Cascaded to Financing, Leasing, Analysis, CF, BS.</t>
  </si>
  <si>
    <t>Energy escalation rate</t>
  </si>
  <si>
    <t>Market research (Notes S17): 4.5% = bear case. 3% aligns with Polish renewable buildout consensus.</t>
  </si>
  <si>
    <t>Receivables DSO</t>
  </si>
  <si>
    <t>60 days</t>
  </si>
  <si>
    <t>30 days</t>
  </si>
  <si>
    <t>Benchmarked (Notes S18): Equinix ~30d, CoreWeave ~15–30d. GPU cloud uses prepaid/short-term billing.</t>
  </si>
  <si>
    <t>Payables DPO</t>
  </si>
  <si>
    <t>45 days</t>
  </si>
  <si>
    <t>Benchmarked (Notes S18): Large project has leverage for extended terms. Industry range 30–60d.</t>
  </si>
  <si>
    <t>Analysis (Notes S20): 8% low for single-asset greenfield in Poland. 9% base / 8% bull / 12% bear.</t>
  </si>
  <si>
    <t>Exit multiple (EV/EBITDA)</t>
  </si>
  <si>
    <t>Analysis (Notes S20): 10× below private M&amp;A. DC REITs 18–26×. 14× base / 10× bear / 18× bull.</t>
  </si>
  <si>
    <t>C. EQUITY SIZING — METHODOLOGY CORRECTION</t>
  </si>
  <si>
    <t>Built equity sizing helper in CF!F71:F79 using peak cumulative deficit method.</t>
  </si>
  <si>
    <t>Method: Sum pre-equity cash flows (operating + investing + financing excl. equity), find peak cumulative deficit, add 5% buffer.</t>
  </si>
  <si>
    <t>Result: Equity = $712M (was ~$1.2B). Linked Assumptions!B73 → CF!F47 (equity injection).</t>
  </si>
  <si>
    <t>Right-sizes equity to minimum needed, maximizing leverage and equity returns.</t>
  </si>
  <si>
    <t>Leverage: 79% LTV ($3.07B debt / $3.88B total). Annual principal: $341M ($3.07B ÷ 9 years).</t>
  </si>
  <si>
    <t>D. FORMULA AUDIT — 23 FIXES ACROSS 12 SHEETS</t>
  </si>
  <si>
    <t>Phase 1 (12 items): CF CapEx ref, D&amp;A GPU refresh rollforward, D&amp;A maintenance reclassification,</t>
  </si>
  <si>
    <t xml:space="preserve">  Analysis principal hardcodes→formulas, D&amp;A CapEx→Assumptions links, BS debt ref, DCF mid-year discounting,</t>
  </si>
  <si>
    <t xml:space="preserve">  Analysis NOL tracking, P&amp;L tax formulas, D&amp;A % reference. Green formatting on all cross-sheet links.</t>
  </si>
  <si>
    <t>Phase 2 (8 items post-extension): Projection period label, D&amp;A% ref, DCF ΔWC→NWC link,</t>
  </si>
  <si>
    <t xml:space="preserve">  Analysis fees/costs→P&amp;L links, Costs year label, P&amp;L interest Yr6–9→Financing, Financing balance cascade Yr6–9.</t>
  </si>
  <si>
    <t>Phase 3 (3 items final audit): NPV UFCF refs (G5, K5)→DCF source; NPV note 10×→14×; Assumptions debt annotation.</t>
  </si>
  <si>
    <t>All verified: BS = $0 all years, CF↔BS cash reconciled, zero formula errors across entire workbook.</t>
  </si>
  <si>
    <t>E. EXECUTIVE SUMMARY TAB (NEW)</t>
  </si>
  <si>
    <t>Created investor-facing summary as first sheet. All cells formula-linked to source tabs (no hardcodes).</t>
  </si>
  <si>
    <t>Sections: Project Overview (thesis, config, location), Investment Overview (equity/debt, leverage, cost of debt),</t>
  </si>
  <si>
    <t xml:space="preserve">  Key Returns (IRR, MOIC, payback), DCF Valuation (WACC, TV, equity value), 10-Year Operating Summary,</t>
  </si>
  <si>
    <t xml:space="preserve">  Capital Expenditure Projections (initial, maintenance, GPU refresh, depreciation, cumulative CapEx).</t>
  </si>
  <si>
    <t>F. DOCUMENTATION &amp; ANALYSIS ADDED TO NOTES</t>
  </si>
  <si>
    <t>S17: Energy Escalation Analysis — market research, Poland renewable outlook, scenario table (2–5% range).</t>
  </si>
  <si>
    <t>S18: Working Capital Analysis — DSO/DPO benchmarks vs Equinix, DLR, CoreWeave. Justified 30/45 day split.</t>
  </si>
  <si>
    <t>S19: Depreciation Analysis — Industry benchmarks (AWS 5yr, Nebius 4yr). Recommends SL over DB. Deferred.</t>
  </si>
  <si>
    <t>S20: Valuation Analysis — WACC build-up, exit multiple comps (DC REITs 18–26×), scenario matrix.</t>
  </si>
  <si>
    <t>G. GS IB FORMATTING</t>
  </si>
  <si>
    <t>Applied to 9 tabs: Executive Summary, P&amp;L, BS, CF, NWC, DCF, IRR, Investment Metrics, NPV Sensitivity.</t>
  </si>
  <si>
    <t>Standard: 8pt Arial, #1F2937 title bars, #F2F2F2 section headers, yellow key outputs, green links, blue inputs.</t>
  </si>
  <si>
    <t>Remaining 6 tabs not yet reformatted: Incomes, Costs, D&amp;A CAPEX, Analysis, Financing, Leasing.</t>
  </si>
  <si>
    <t>H. KEY METRICS — ORIGINAL vs. CURRENT</t>
  </si>
  <si>
    <t>Current</t>
  </si>
  <si>
    <t>Driver</t>
  </si>
  <si>
    <t>10 years</t>
  </si>
  <si>
    <t>Extension</t>
  </si>
  <si>
    <t>~28%</t>
  </si>
  <si>
    <t>Flat GPU pricing, added CapEx, utilization ramp</t>
  </si>
  <si>
    <t>Levered IRR</t>
  </si>
  <si>
    <t>~55%</t>
  </si>
  <si>
    <t>Same drivers + smaller equity base ($712M vs ~$1.2B)</t>
  </si>
  <si>
    <t>MOIC Levered</t>
  </si>
  <si>
    <t>~12×</t>
  </si>
  <si>
    <t>16.6×</t>
  </si>
  <si>
    <t>Smaller equity base amplifies returns</t>
  </si>
  <si>
    <t>~$5.5B</t>
  </si>
  <si>
    <t>$3.71B</t>
  </si>
  <si>
    <t>Higher WACC (9%), partially offset by higher exit multiple (14×)</t>
  </si>
  <si>
    <t>~$2.4B</t>
  </si>
  <si>
    <t>$843M</t>
  </si>
  <si>
    <t>Lower EV + net debt adjustment</t>
  </si>
  <si>
    <t>I. REMAINING ITEMS</t>
  </si>
  <si>
    <t>⚠️ Depreciation method: Still declining balance. Notes S19 recommends 5-year straight-line for GPUs. Deferred — awaiting decision.</t>
  </si>
  <si>
    <t>⚠️ Variation analysis (Bull/Base/Bear scenarios): Not yet built. Key levers: utilization, GPU price, energy, exit multiple.</t>
  </si>
  <si>
    <t>⚠️ 6 supporting tabs still in old Polish statutory format (Incomes, Costs, D&amp;A CAPEX, Analysis, Financing, Leasing).</t>
  </si>
  <si>
    <t>⚠️ Notes Sections 3–5 still reference original values (6yr period, $4.27B investment, 5yr debt, 10× exit).</t>
  </si>
  <si>
    <t>📝 Charts/visualizations: Not yet created.</t>
  </si>
  <si>
    <t>📝 Revenue breakdown by customer type (contract vs. spot): Not yet modeled.</t>
  </si>
  <si>
    <t>Compiled: 13 March 2026. All changes verified: BS balances, CF reconciles, no formula errors.</t>
  </si>
  <si>
    <t>EQUITY VALUE SENSITIVITY — WACC vs. EXIT MULTIPLE</t>
  </si>
  <si>
    <t>Equity Value (USD)</t>
  </si>
  <si>
    <t>WACC ↓  /  Multiple →</t>
  </si>
  <si>
    <t>8×</t>
  </si>
  <si>
    <t>12×</t>
  </si>
  <si>
    <t>16×</t>
  </si>
  <si>
    <t>20×</t>
  </si>
  <si>
    <t>Levered IRR (%)</t>
  </si>
  <si>
    <t>70→80→70%</t>
  </si>
  <si>
    <t>70→80→75%</t>
  </si>
  <si>
    <t>70→80→80%</t>
  </si>
  <si>
    <t>70→80→85%</t>
  </si>
  <si>
    <t>70→80→90%</t>
  </si>
  <si>
    <t>70→80→95%</t>
  </si>
  <si>
    <t>70→80→100%</t>
  </si>
  <si>
    <t>Levered MOIC (×)</t>
  </si>
  <si>
    <t>LEVERED IRR SENSITIVITY — UTILIZATION vs. GPU PRICE ESCALATION</t>
  </si>
  <si>
    <t>Annual GPU Price Escalation</t>
  </si>
  <si>
    <t>Utilization ↓  /  Esc. →</t>
  </si>
  <si>
    <t>LEVERED MOIC SENSITIVITY — UTILIZATION vs. GPU PRICE ESCALATION</t>
  </si>
  <si>
    <t>← Base case: 90% utilization, 0% price escalation, 14× exit multiple. Yellow cells = current model values.</t>
  </si>
  <si>
    <t>← Base case: WACC 9.0%, Exit Multiple 14×. Yellow cell = current model equity value ($843M).</t>
  </si>
  <si>
    <t>✅ 2-way sensitivity tables: COMPLETE. 3 tables built on Sensitivity tab (Equity Value: WACC × Exit Multiple; Levered IRR &amp; MOIC: Utilization × Price Escalation).</t>
  </si>
  <si>
    <t>✅ Complete — 3 sensitivity tables built on Sensitivity tab: (1) Equity Value: WACC × Exit Multiple, (2) Levered IRR: Utilization × Price Escalation, (3) Levered MOIC: Utilization × Price Escalation. All base cases verified against DCF/IRR/Investment Metrics.</t>
  </si>
  <si>
    <t>✅ Resolved — Energy escalation updated to 3% (from 4.5%). USD 130/MWh confirmed defensible for contracted industrial consumer in Poland. See Notes Section 11 &amp; 17.</t>
  </si>
  <si>
    <t>✅ Complete — Executive Summary tab created before Assumptions with 6 sections: Project Overview, Investment Overview, Key Return Metrics, DCF Valuation, Operating Summary (10-yr time series), CapEx Projections. GS IB formatted.</t>
  </si>
  <si>
    <t>✅ Complete — Full formula audit performed across all 17 sheets. 23 total fixes applied (12 initial + 8 post-extension + 3 annotation). Zero formula errors remaining. BS balances, CF↔BS ties, all cross-sheet links verified.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</si>
</sst>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6" formatCode="&quot;$&quot;#,##0_);[Red]\(&quot;$&quot;#,##0\)"/>
    <numFmt numFmtId="8" formatCode="&quot;$&quot;#,##0.00_);[Red]\(&quot;$&quot;#,##0.00\)"/>
    <numFmt numFmtId="43" formatCode="_(* #,##0.00_);_(* \(#,##0.00\);_(* &quot;-&quot;??_);_(@_)"/>
    <numFmt numFmtId="164" formatCode="_-* #,##0.00\ &quot;zł&quot;_-;\-* #,##0.00\ &quot;zł&quot;_-;_-* &quot;-&quot;??\ &quot;zł&quot;_-;_-@_-"/>
    <numFmt numFmtId="165" formatCode="_-* #,##0.00_-;\-* #,##0.00_-;_-* &quot;-&quot;??_-;_-@_-"/>
    <numFmt numFmtId="166" formatCode="_-* #,##0.00\ _z_ł_-;\-* #,##0.00\ _z_ł_-;_-* &quot;-&quot;??\ _z_ł_-;_-@_-"/>
    <numFmt numFmtId="167" formatCode="0&quot;P&quot;"/>
    <numFmt numFmtId="168" formatCode="[$-415]General"/>
    <numFmt numFmtId="169" formatCode="#,##0.00&quot; &quot;[$zł-415];[Red]&quot;-&quot;#,##0.00&quot; &quot;[$zł-415]"/>
    <numFmt numFmtId="170" formatCode="&quot; &quot;#,##0.00&quot;      &quot;;&quot;-&quot;#,##0.00&quot;      &quot;;&quot; -&quot;#&quot;      &quot;;@&quot; &quot;"/>
    <numFmt numFmtId="171" formatCode="[$-415]0%"/>
    <numFmt numFmtId="172" formatCode="&quot; &quot;#,##0.00&quot; z3 &quot;;&quot;-&quot;#,##0.00&quot; z3 &quot;;&quot; -&quot;#&quot; z3 &quot;;@&quot; &quot;"/>
    <numFmt numFmtId="173" formatCode="\ #,##0.00&quot;      &quot;;\-#,##0.00&quot;      &quot;;&quot; -&quot;#&quot;      &quot;;@\ "/>
    <numFmt numFmtId="174" formatCode="\ #,##0.00&quot; z3 &quot;;\-#,##0.00&quot; z3 &quot;;&quot; -&quot;#&quot; z3 &quot;;@\ "/>
    <numFmt numFmtId="175" formatCode="[$-406]General"/>
    <numFmt numFmtId="176" formatCode="[$kr-406]&quot; &quot;#,##0.00;[Red][$kr-406]&quot; -&quot;#,##0.00"/>
    <numFmt numFmtId="177" formatCode="_-* #,##0.00\ _z_ł_-;\-* #,##0.00\ _z_ł_-;_-* \-??\ _z_ł_-;_-@_-"/>
    <numFmt numFmtId="178" formatCode="_-* #,##0.00&quot; zł&quot;_-;\-* #,##0.00&quot; zł&quot;_-;_-* \-??&quot; zł&quot;_-;_-@_-"/>
    <numFmt numFmtId="179" formatCode="#,##0.0"/>
    <numFmt numFmtId="180" formatCode="_-* #,##0_-;\-* #,##0_-;_-* &quot;-&quot;??_-;_-@_-"/>
    <numFmt numFmtId="181" formatCode="_-* #,##0.00\ [$USD]_-;\-* #,##0.00\ [$USD]_-;_-* &quot;-&quot;??\ [$USD]_-;_-@_-"/>
    <numFmt numFmtId="182" formatCode="_-* #,##0\ [$USD]_-;\-* #,##0\ [$USD]_-;_-* &quot;-&quot;??\ [$USD]_-;_-@_-"/>
    <numFmt numFmtId="183" formatCode="_-* #,##0\ [$USD]_-;\-* #,##0\ [$USD]_-;_-* &quot;-&quot;\ [$USD]_-;_-@_-"/>
    <numFmt numFmtId="184" formatCode="0.0%"/>
    <numFmt numFmtId="186" formatCode="0.0&quot;x&quot;"/>
    <numFmt numFmtId="187" formatCode="yyyy\-mm\-dd"/>
    <numFmt numFmtId="188" formatCode="0.0"/>
    <numFmt numFmtId="189" formatCode="0.0%;\(0.0%\);&quot;-&quot;"/>
    <numFmt numFmtId="190" formatCode="#,##0;\(#,##0\);&quot;-&quot;"/>
    <numFmt numFmtId="191" formatCode="0.0000"/>
    <numFmt numFmtId="192" formatCode="0.00&quot;x&quot;;\(0.00&quot;x&quot;\);&quot;-&quot;"/>
    <numFmt numFmtId="193" formatCode="0.0&quot; years&quot;"/>
    <numFmt numFmtId="194" formatCode="0.00&quot;x&quot;"/>
    <numFmt numFmtId="195" formatCode="0&quot; years&quot;"/>
    <numFmt numFmtId="198" formatCode="0.0&quot;×&quot;"/>
    <numFmt numFmtId="199" formatCode="0%;\(0%\)"/>
  </numFmts>
  <fonts count="179">
    <font>
      <sz val="11"/>
      <color theme="1"/>
      <name val="Arial"/>
      <family val="2"/>
      <charset val="238"/>
      <scheme val="minor"/>
    </font>
    <font>
      <sz val="11"/>
      <color theme="1"/>
      <name val="Arial"/>
      <family val="2"/>
      <scheme val="minor"/>
    </font>
    <font>
      <sz val="11"/>
      <color theme="1"/>
      <name val="Arial"/>
      <family val="2"/>
      <charset val="238"/>
      <scheme val="minor"/>
    </font>
    <font>
      <b/>
      <sz val="18"/>
      <color theme="3"/>
      <name val="Arial"/>
      <family val="2"/>
      <charset val="238"/>
      <scheme val="major"/>
    </font>
    <font>
      <b/>
      <sz val="15"/>
      <color theme="3"/>
      <name val="Arial"/>
      <family val="2"/>
      <charset val="238"/>
      <scheme val="minor"/>
    </font>
    <font>
      <b/>
      <sz val="13"/>
      <color theme="3"/>
      <name val="Arial"/>
      <family val="2"/>
      <charset val="238"/>
      <scheme val="minor"/>
    </font>
    <font>
      <b/>
      <sz val="11"/>
      <color theme="3"/>
      <name val="Arial"/>
      <family val="2"/>
      <charset val="238"/>
      <scheme val="minor"/>
    </font>
    <font>
      <sz val="11"/>
      <color rgb="FF006100"/>
      <name val="Arial"/>
      <family val="2"/>
      <charset val="238"/>
      <scheme val="minor"/>
    </font>
    <font>
      <sz val="11"/>
      <color rgb="FF9C0006"/>
      <name val="Arial"/>
      <family val="2"/>
      <charset val="238"/>
      <scheme val="minor"/>
    </font>
    <font>
      <sz val="11"/>
      <color rgb="FF9C6500"/>
      <name val="Arial"/>
      <family val="2"/>
      <charset val="238"/>
      <scheme val="minor"/>
    </font>
    <font>
      <sz val="11"/>
      <color rgb="FF3F3F76"/>
      <name val="Arial"/>
      <family val="2"/>
      <charset val="238"/>
      <scheme val="minor"/>
    </font>
    <font>
      <b/>
      <sz val="11"/>
      <color rgb="FF3F3F3F"/>
      <name val="Arial"/>
      <family val="2"/>
      <charset val="238"/>
      <scheme val="minor"/>
    </font>
    <font>
      <b/>
      <sz val="11"/>
      <color rgb="FFFA7D00"/>
      <name val="Arial"/>
      <family val="2"/>
      <charset val="238"/>
      <scheme val="minor"/>
    </font>
    <font>
      <sz val="11"/>
      <color rgb="FFFA7D00"/>
      <name val="Arial"/>
      <family val="2"/>
      <charset val="238"/>
      <scheme val="minor"/>
    </font>
    <font>
      <b/>
      <sz val="11"/>
      <color theme="0"/>
      <name val="Arial"/>
      <family val="2"/>
      <charset val="238"/>
      <scheme val="minor"/>
    </font>
    <font>
      <sz val="11"/>
      <color rgb="FFFF0000"/>
      <name val="Arial"/>
      <family val="2"/>
      <charset val="238"/>
      <scheme val="minor"/>
    </font>
    <font>
      <i/>
      <sz val="11"/>
      <color rgb="FF7F7F7F"/>
      <name val="Arial"/>
      <family val="2"/>
      <charset val="238"/>
      <scheme val="minor"/>
    </font>
    <font>
      <b/>
      <sz val="11"/>
      <color theme="1"/>
      <name val="Arial"/>
      <family val="2"/>
      <charset val="238"/>
      <scheme val="minor"/>
    </font>
    <font>
      <sz val="11"/>
      <color theme="0"/>
      <name val="Arial"/>
      <family val="2"/>
      <charset val="238"/>
      <scheme val="minor"/>
    </font>
    <font>
      <sz val="10"/>
      <color theme="1"/>
      <name val="Arial"/>
      <family val="2"/>
      <charset val="238"/>
      <scheme val="minor"/>
    </font>
    <font>
      <b/>
      <sz val="10"/>
      <color theme="1"/>
      <name val="Arial"/>
      <family val="2"/>
      <charset val="238"/>
      <scheme val="minor"/>
    </font>
    <font>
      <b/>
      <sz val="10"/>
      <color theme="0"/>
      <name val="Arial"/>
      <family val="2"/>
      <charset val="238"/>
      <scheme val="minor"/>
    </font>
    <font>
      <sz val="10"/>
      <name val="Arial CE"/>
      <charset val="238"/>
    </font>
    <font>
      <sz val="11"/>
      <color theme="1"/>
      <name val="Czcionka tekstu podstawowego"/>
      <family val="2"/>
      <charset val="238"/>
    </font>
    <font>
      <sz val="10"/>
      <name val="Arial"/>
      <family val="2"/>
      <charset val="238"/>
    </font>
    <font>
      <sz val="8"/>
      <color theme="3" tint="-0.499984740745262"/>
      <name val="Century Gothic"/>
      <family val="2"/>
      <charset val="238"/>
    </font>
    <font>
      <b/>
      <sz val="11"/>
      <color theme="0"/>
      <name val="Czcionka tekstu podstawowego"/>
      <family val="2"/>
      <charset val="238"/>
    </font>
    <font>
      <sz val="11"/>
      <color theme="0"/>
      <name val="Czcionka tekstu podstawowego"/>
      <family val="2"/>
      <charset val="238"/>
    </font>
    <font>
      <sz val="11"/>
      <color rgb="FF000000"/>
      <name val="Czcionka tekstu podstawowego"/>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1"/>
      <color rgb="FF000000"/>
      <name val="Arial"/>
      <family val="2"/>
      <charset val="238"/>
    </font>
    <font>
      <sz val="11"/>
      <color rgb="FFFFFFFF"/>
      <name val="Czcionka tekstu podstawowego"/>
      <charset val="238"/>
    </font>
    <font>
      <sz val="11"/>
      <color rgb="FF800080"/>
      <name val="Czcionka tekstu podstawowego"/>
      <charset val="238"/>
    </font>
    <font>
      <b/>
      <sz val="11"/>
      <color rgb="FFFF9900"/>
      <name val="Czcionka tekstu podstawowego"/>
      <charset val="238"/>
    </font>
    <font>
      <b/>
      <sz val="11"/>
      <color rgb="FFFFFFFF"/>
      <name val="Czcionka tekstu podstawowego"/>
      <charset val="238"/>
    </font>
    <font>
      <i/>
      <sz val="11"/>
      <color rgb="FF808080"/>
      <name val="Czcionka tekstu podstawowego"/>
      <charset val="238"/>
    </font>
    <font>
      <sz val="11"/>
      <color rgb="FF008000"/>
      <name val="Czcionka tekstu podstawowego"/>
      <charset val="238"/>
    </font>
    <font>
      <b/>
      <sz val="15"/>
      <color rgb="FF333399"/>
      <name val="Czcionka tekstu podstawowego"/>
      <charset val="238"/>
    </font>
    <font>
      <b/>
      <sz val="13"/>
      <color rgb="FF333399"/>
      <name val="Czcionka tekstu podstawowego"/>
      <charset val="238"/>
    </font>
    <font>
      <b/>
      <sz val="11"/>
      <color rgb="FF333399"/>
      <name val="Czcionka tekstu podstawowego"/>
      <charset val="238"/>
    </font>
    <font>
      <u/>
      <sz val="10"/>
      <color rgb="FF0000FF"/>
      <name val="Arial CE"/>
      <charset val="238"/>
    </font>
    <font>
      <sz val="11"/>
      <color rgb="FF333399"/>
      <name val="Czcionka tekstu podstawowego"/>
      <charset val="238"/>
    </font>
    <font>
      <sz val="11"/>
      <color rgb="FFFF9900"/>
      <name val="Czcionka tekstu podstawowego"/>
      <charset val="238"/>
    </font>
    <font>
      <sz val="11"/>
      <color rgb="FF993300"/>
      <name val="Czcionka tekstu podstawowego"/>
      <charset val="238"/>
    </font>
    <font>
      <b/>
      <sz val="11"/>
      <color rgb="FF333333"/>
      <name val="Czcionka tekstu podstawowego"/>
      <charset val="238"/>
    </font>
    <font>
      <b/>
      <sz val="18"/>
      <color rgb="FF333399"/>
      <name val="Cambria"/>
      <family val="1"/>
      <charset val="238"/>
    </font>
    <font>
      <b/>
      <sz val="11"/>
      <color rgb="FF000000"/>
      <name val="Czcionka tekstu podstawowego"/>
      <charset val="238"/>
    </font>
    <font>
      <sz val="11"/>
      <color rgb="FFFF0000"/>
      <name val="Czcionka tekstu podstawowego"/>
      <charset val="238"/>
    </font>
    <font>
      <b/>
      <i/>
      <sz val="16"/>
      <color rgb="FF000000"/>
      <name val="Arial"/>
      <family val="2"/>
      <charset val="238"/>
    </font>
    <font>
      <sz val="10"/>
      <color rgb="FF000000"/>
      <name val="Arial"/>
      <family val="2"/>
      <charset val="238"/>
    </font>
    <font>
      <b/>
      <i/>
      <u/>
      <sz val="11"/>
      <color rgb="FF000000"/>
      <name val="Arial"/>
      <family val="2"/>
      <charset val="238"/>
    </font>
    <font>
      <sz val="10"/>
      <name val="Mangal"/>
      <family val="2"/>
      <charset val="238"/>
    </font>
    <font>
      <sz val="11"/>
      <color rgb="FF000000"/>
      <name val="Calibri"/>
      <family val="2"/>
      <charset val="238"/>
    </font>
    <font>
      <sz val="8"/>
      <color theme="1"/>
      <name val="Arial"/>
      <family val="2"/>
      <charset val="238"/>
      <scheme val="minor"/>
    </font>
    <font>
      <sz val="11"/>
      <color indexed="8"/>
      <name val="Calibri"/>
      <family val="2"/>
      <charset val="238"/>
    </font>
    <font>
      <sz val="10"/>
      <color rgb="FF000000"/>
      <name val="Times New Roman"/>
      <family val="1"/>
      <charset val="238"/>
    </font>
    <font>
      <sz val="10"/>
      <color rgb="FF000000"/>
      <name val="Times New Roman"/>
      <family val="1"/>
      <charset val="238"/>
    </font>
    <font>
      <sz val="10"/>
      <name val="Arial"/>
      <family val="2"/>
      <charset val="238"/>
    </font>
    <font>
      <sz val="10"/>
      <color indexed="22"/>
      <name val="Arial"/>
      <family val="2"/>
      <charset val="238"/>
    </font>
    <font>
      <b/>
      <sz val="10"/>
      <name val="Arial CE"/>
      <charset val="238"/>
    </font>
    <font>
      <sz val="11"/>
      <color rgb="FF000000"/>
      <name val="Arial"/>
      <family val="2"/>
    </font>
    <font>
      <b/>
      <sz val="11"/>
      <color rgb="FF3F3F3F"/>
      <name val="Arial"/>
      <family val="2"/>
      <scheme val="minor"/>
    </font>
    <font>
      <sz val="11"/>
      <color rgb="FF000000"/>
      <name val="Calibri"/>
      <family val="2"/>
    </font>
    <font>
      <b/>
      <i/>
      <sz val="16"/>
      <color rgb="FF000000"/>
      <name val="Arial"/>
      <family val="2"/>
    </font>
    <font>
      <b/>
      <i/>
      <u/>
      <sz val="11"/>
      <color rgb="FF000000"/>
      <name val="Arial"/>
      <family val="2"/>
    </font>
    <font>
      <sz val="11"/>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sz val="18"/>
      <color theme="3"/>
      <name val="Arial"/>
      <family val="2"/>
      <scheme val="major"/>
    </font>
    <font>
      <sz val="10"/>
      <name val="Arial"/>
      <family val="2"/>
      <charset val="238"/>
    </font>
    <font>
      <sz val="10"/>
      <name val="Arial"/>
      <family val="2"/>
      <charset val="238"/>
    </font>
    <font>
      <sz val="10"/>
      <color rgb="FF000000"/>
      <name val="Times New Roman"/>
      <family val="1"/>
      <charset val="238"/>
    </font>
    <font>
      <sz val="10"/>
      <color theme="0"/>
      <name val="Arial"/>
      <family val="2"/>
      <charset val="238"/>
      <scheme val="minor"/>
    </font>
    <font>
      <i/>
      <sz val="10"/>
      <color theme="1"/>
      <name val="Arial"/>
      <family val="2"/>
      <charset val="238"/>
      <scheme val="minor"/>
    </font>
    <font>
      <sz val="9"/>
      <color theme="1"/>
      <name val="Czcionka tekstu podstawowego"/>
      <charset val="238"/>
    </font>
    <font>
      <sz val="9"/>
      <color indexed="81"/>
      <name val="Tahoma"/>
      <family val="2"/>
      <charset val="238"/>
    </font>
    <font>
      <b/>
      <sz val="9"/>
      <color indexed="81"/>
      <name val="Tahoma"/>
      <family val="2"/>
      <charset val="238"/>
    </font>
    <font>
      <sz val="10"/>
      <name val="Arial"/>
      <family val="2"/>
      <charset val="238"/>
      <scheme val="minor"/>
    </font>
    <font>
      <i/>
      <sz val="11"/>
      <color theme="1"/>
      <name val="Arial"/>
      <family val="2"/>
      <charset val="238"/>
      <scheme val="minor"/>
    </font>
    <font>
      <b/>
      <i/>
      <sz val="11"/>
      <color theme="1"/>
      <name val="Arial"/>
      <family val="2"/>
      <charset val="238"/>
      <scheme val="minor"/>
    </font>
    <font>
      <sz val="10"/>
      <name val="Arial"/>
      <family val="2"/>
      <charset val="1"/>
    </font>
    <font>
      <sz val="11"/>
      <color rgb="FF000000"/>
      <name val="Calibri"/>
      <family val="2"/>
      <charset val="1"/>
    </font>
    <font>
      <sz val="12"/>
      <color theme="1"/>
      <name val="Arial"/>
      <family val="2"/>
      <scheme val="minor"/>
    </font>
    <font>
      <sz val="11"/>
      <name val="Arial"/>
      <family val="2"/>
      <charset val="238"/>
      <scheme val="minor"/>
    </font>
    <font>
      <sz val="9"/>
      <color rgb="FF242424"/>
      <name val="Segoe UI"/>
      <family val="2"/>
      <charset val="238"/>
    </font>
    <font>
      <sz val="10"/>
      <color rgb="FF000000"/>
      <name val="Arial"/>
      <family val="2"/>
      <charset val="238"/>
      <scheme val="minor"/>
    </font>
    <font>
      <b/>
      <sz val="10"/>
      <color theme="1"/>
      <name val="Arial"/>
      <family val="2"/>
      <charset val="238"/>
      <scheme val="minor"/>
    </font>
    <font>
      <sz val="10"/>
      <color theme="1"/>
      <name val="Arial"/>
      <family val="2"/>
      <charset val="238"/>
      <scheme val="minor"/>
    </font>
    <font>
      <u/>
      <sz val="10"/>
      <color rgb="FF0000FF"/>
      <name val="Arial"/>
      <family val="2"/>
      <charset val="238"/>
    </font>
    <font>
      <b/>
      <u val="singleAccounting"/>
      <sz val="11"/>
      <color theme="1"/>
      <name val="Arial"/>
      <family val="2"/>
      <charset val="238"/>
      <scheme val="minor"/>
    </font>
    <font>
      <b/>
      <u/>
      <sz val="10"/>
      <color theme="1"/>
      <name val="Arial"/>
      <family val="2"/>
      <charset val="238"/>
      <scheme val="minor"/>
    </font>
    <font>
      <u/>
      <sz val="11"/>
      <color theme="10"/>
      <name val="Arial"/>
      <family val="2"/>
      <charset val="238"/>
      <scheme val="minor"/>
    </font>
    <font>
      <sz val="11"/>
      <color rgb="FF0000FF"/>
      <name val="Arial"/>
      <family val="2"/>
      <charset val="238"/>
      <scheme val="minor"/>
    </font>
    <font>
      <b/>
      <sz val="11"/>
      <color rgb="FF0000FF"/>
      <name val="Arial"/>
      <family val="2"/>
      <charset val="238"/>
      <scheme val="minor"/>
    </font>
    <font>
      <sz val="9"/>
      <color indexed="81"/>
      <name val="Tahoma"/>
      <charset val="1"/>
    </font>
    <font>
      <b/>
      <sz val="9"/>
      <color indexed="81"/>
      <name val="Tahoma"/>
      <charset val="1"/>
    </font>
    <font>
      <sz val="9"/>
      <color indexed="81"/>
      <name val="Tahoma"/>
      <family val="2"/>
    </font>
    <font>
      <sz val="10"/>
      <color rgb="FF0000FF"/>
      <name val="Arial"/>
      <family val="2"/>
      <charset val="238"/>
      <scheme val="minor"/>
    </font>
    <font>
      <b/>
      <sz val="16"/>
      <color rgb="FF1F4E79"/>
      <name val="Arial"/>
      <family val="2"/>
      <charset val="238"/>
      <scheme val="minor"/>
    </font>
    <font>
      <i/>
      <sz val="10"/>
      <color rgb="FF808080"/>
      <name val="Arial"/>
      <family val="2"/>
      <charset val="238"/>
      <scheme val="minor"/>
    </font>
    <font>
      <b/>
      <sz val="13"/>
      <color rgb="FFFFFFFF"/>
      <name val="Arial"/>
      <family val="2"/>
      <charset val="238"/>
      <scheme val="minor"/>
    </font>
    <font>
      <b/>
      <sz val="11"/>
      <color rgb="FFC00000"/>
      <name val="Arial"/>
      <family val="2"/>
      <charset val="238"/>
      <scheme val="minor"/>
    </font>
    <font>
      <b/>
      <sz val="9"/>
      <color indexed="81"/>
      <name val="Tahoma"/>
      <family val="2"/>
    </font>
    <font>
      <b/>
      <sz val="10"/>
      <color rgb="FFFFFFFF"/>
      <name val="Arial"/>
      <family val="2"/>
      <scheme val="minor"/>
    </font>
    <font>
      <sz val="8"/>
      <color rgb="FF6B7280"/>
      <name val="Arial"/>
      <family val="2"/>
      <scheme val="minor"/>
    </font>
    <font>
      <i/>
      <sz val="8"/>
      <color rgb="FF6B7280"/>
      <name val="Arial"/>
      <family val="2"/>
      <scheme val="minor"/>
    </font>
    <font>
      <sz val="8"/>
      <color theme="1"/>
      <name val="Arial"/>
      <family val="2"/>
      <scheme val="minor"/>
    </font>
    <font>
      <sz val="8"/>
      <color rgb="FF000000"/>
      <name val="Arial"/>
      <family val="2"/>
      <scheme val="minor"/>
    </font>
    <font>
      <b/>
      <sz val="8"/>
      <color rgb="FF000000"/>
      <name val="Arial"/>
      <family val="2"/>
      <scheme val="minor"/>
    </font>
    <font>
      <sz val="8"/>
      <color rgb="FF0000FF"/>
      <name val="Arial"/>
      <family val="2"/>
      <scheme val="minor"/>
    </font>
    <font>
      <b/>
      <sz val="8"/>
      <color theme="1"/>
      <name val="Arial"/>
      <family val="2"/>
      <scheme val="minor"/>
    </font>
    <font>
      <i/>
      <sz val="8"/>
      <color theme="1"/>
      <name val="Arial"/>
      <family val="2"/>
      <scheme val="minor"/>
    </font>
    <font>
      <sz val="11"/>
      <color rgb="FF008000"/>
      <name val="Arial"/>
      <family val="2"/>
      <charset val="238"/>
      <scheme val="minor"/>
    </font>
    <font>
      <sz val="10"/>
      <color rgb="FF008000"/>
      <name val="Arial"/>
      <family val="2"/>
      <charset val="238"/>
      <scheme val="minor"/>
    </font>
    <font>
      <b/>
      <sz val="13"/>
      <color rgb="FFFFFFFF"/>
      <name val="Arial"/>
      <family val="2"/>
      <scheme val="minor"/>
    </font>
    <font>
      <i/>
      <sz val="10"/>
      <color rgb="FF808080"/>
      <name val="Arial"/>
      <family val="2"/>
      <scheme val="minor"/>
    </font>
    <font>
      <b/>
      <sz val="8"/>
      <color rgb="FFFFFFFF"/>
      <name val="Arial"/>
      <family val="2"/>
      <scheme val="minor"/>
    </font>
    <font>
      <sz val="8"/>
      <color rgb="FF008000"/>
      <name val="Arial"/>
      <family val="2"/>
      <scheme val="minor"/>
    </font>
    <font>
      <i/>
      <sz val="8"/>
      <color rgb="FF000000"/>
      <name val="Arial"/>
      <family val="2"/>
      <scheme val="minor"/>
    </font>
    <font>
      <b/>
      <i/>
      <sz val="8"/>
      <color rgb="FF6B7280"/>
      <name val="Arial"/>
      <family val="2"/>
      <scheme val="minor"/>
    </font>
    <font>
      <b/>
      <sz val="11"/>
      <color rgb="FF000000"/>
      <name val="Arial"/>
      <family val="2"/>
      <scheme val="minor"/>
    </font>
    <font>
      <sz val="10"/>
      <color theme="1"/>
      <name val="Arial"/>
      <family val="2"/>
      <scheme val="minor"/>
    </font>
    <font>
      <b/>
      <sz val="10"/>
      <color theme="1"/>
      <name val="Arial"/>
      <family val="2"/>
      <scheme val="minor"/>
    </font>
    <font>
      <b/>
      <sz val="10"/>
      <color rgb="FFFF0000"/>
      <name val="Arial"/>
      <family val="2"/>
      <scheme val="minor"/>
    </font>
    <font>
      <b/>
      <i/>
      <sz val="10"/>
      <color rgb="FFFFFF00"/>
      <name val="Arial"/>
      <family val="2"/>
      <scheme val="minor"/>
    </font>
    <font>
      <sz val="8"/>
      <color rgb="FF000000"/>
      <name val="Arial"/>
      <family val="2"/>
    </font>
    <font>
      <b/>
      <sz val="8"/>
      <color rgb="FF000000"/>
      <name val="Arial"/>
      <family val="2"/>
    </font>
    <font>
      <sz val="8"/>
      <color rgb="FF1F2937"/>
      <name val="Arial"/>
      <family val="2"/>
      <scheme val="minor"/>
    </font>
    <font>
      <i/>
      <sz val="6"/>
      <color rgb="FF6B7280"/>
      <name val="Arial"/>
      <family val="2"/>
      <scheme val="minor"/>
    </font>
    <font>
      <b/>
      <sz val="11"/>
      <color rgb="FF008000"/>
      <name val="Arial"/>
      <family val="2"/>
      <scheme val="minor"/>
    </font>
    <font>
      <sz val="11"/>
      <color rgb="FF0000FF"/>
      <name val="Arial"/>
      <family val="2"/>
      <scheme val="minor"/>
    </font>
    <font>
      <b/>
      <sz val="8"/>
      <color rgb="FF0000FF"/>
      <name val="Arial"/>
      <family val="2"/>
      <scheme val="minor"/>
    </font>
    <font>
      <b/>
      <sz val="8"/>
      <color rgb="FF008000"/>
      <name val="Arial"/>
      <family val="2"/>
      <scheme val="minor"/>
    </font>
    <font>
      <sz val="11"/>
      <color rgb="FF000000"/>
      <name val="Arial"/>
      <family val="2"/>
      <scheme val="minor"/>
    </font>
    <font>
      <i/>
      <sz val="8"/>
      <color rgb="FF008000"/>
      <name val="Arial"/>
      <family val="2"/>
      <scheme val="minor"/>
    </font>
    <font>
      <b/>
      <sz val="8"/>
      <color theme="1"/>
      <name val="Arial"/>
      <family val="2"/>
      <charset val="238"/>
      <scheme val="minor"/>
    </font>
    <font>
      <i/>
      <sz val="11"/>
      <color rgb="FF6B7280"/>
      <name val="Arial"/>
      <family val="2"/>
      <scheme val="minor"/>
    </font>
    <font>
      <b/>
      <sz val="11"/>
      <color rgb="FF0000FF"/>
      <name val="Arial"/>
      <family val="2"/>
      <scheme val="minor"/>
    </font>
    <font>
      <b/>
      <sz val="10"/>
      <color rgb="FF000000"/>
      <name val="Arial"/>
      <family val="2"/>
      <scheme val="minor"/>
    </font>
    <font>
      <sz val="10"/>
      <color rgb="FF000000"/>
      <name val="Arial"/>
      <family val="2"/>
      <scheme val="minor"/>
    </font>
    <font>
      <i/>
      <sz val="8"/>
      <color rgb="FF808080"/>
      <name val="Arial"/>
      <family val="2"/>
      <scheme val="minor"/>
    </font>
    <font>
      <sz val="8"/>
      <color rgb="FFFFFFFF"/>
      <name val="Arial"/>
      <family val="2"/>
      <scheme val="minor"/>
    </font>
    <font>
      <b/>
      <i/>
      <sz val="8"/>
      <color rgb="FFFFFFFF"/>
      <name val="Arial"/>
      <family val="2"/>
      <scheme val="minor"/>
    </font>
    <font>
      <sz val="8"/>
      <color rgb="FF808080"/>
      <name val="Arial"/>
      <family val="2"/>
      <scheme val="minor"/>
    </font>
    <font>
      <i/>
      <sz val="8"/>
      <color rgb="FF333333"/>
      <name val="Arial"/>
      <family val="2"/>
      <scheme val="minor"/>
    </font>
    <font>
      <i/>
      <sz val="11"/>
      <color theme="1"/>
      <name val="Arial"/>
      <family val="2"/>
      <scheme val="minor"/>
    </font>
    <font>
      <u/>
      <sz val="8"/>
      <color rgb="FF000000"/>
      <name val="Arial"/>
      <family val="2"/>
      <scheme val="minor"/>
    </font>
    <font>
      <i/>
      <sz val="8"/>
      <color rgb="FF0000FF"/>
      <name val="Arial"/>
      <family val="2"/>
      <scheme val="minor"/>
    </font>
    <font>
      <i/>
      <sz val="8"/>
      <color rgb="FF6B7280"/>
      <name val="Arial"/>
      <family val="2"/>
      <charset val="238"/>
      <scheme val="minor"/>
    </font>
    <font>
      <b/>
      <sz val="11"/>
      <color rgb="FF006100"/>
      <name val="Arial"/>
      <family val="2"/>
      <charset val="238"/>
      <scheme val="minor"/>
    </font>
  </fonts>
  <fills count="10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3"/>
        <bgColor indexed="64"/>
      </patternFill>
    </fill>
    <fill>
      <patternFill patternType="solid">
        <fgColor theme="9" tint="0.39997558519241921"/>
        <bgColor indexed="64"/>
      </patternFill>
    </fill>
    <fill>
      <patternFill patternType="solid">
        <fgColor rgb="FF006C6E"/>
        <bgColor rgb="FF006C6E"/>
      </patternFill>
    </fill>
    <fill>
      <patternFill patternType="solid">
        <fgColor rgb="FF3EA7AA"/>
        <bgColor rgb="FF3EA7AA"/>
      </patternFill>
    </fill>
    <fill>
      <patternFill patternType="solid">
        <fgColor rgb="FFECF8F8"/>
        <bgColor rgb="FFCFEDEC"/>
      </patternFill>
    </fill>
    <fill>
      <patternFill patternType="solid">
        <fgColor rgb="FFCFEDEC"/>
        <bgColor rgb="FFCFEDEC"/>
      </patternFill>
    </fill>
    <fill>
      <patternFill patternType="solid">
        <fgColor rgb="FF006C6E"/>
        <bgColor theme="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rgb="FFE3E3E3"/>
        <bgColor rgb="FFE3E3E3"/>
      </patternFill>
    </fill>
    <fill>
      <patternFill patternType="solid">
        <fgColor rgb="FFFF8080"/>
        <bgColor rgb="FFFF8080"/>
      </patternFill>
    </fill>
    <fill>
      <patternFill patternType="solid">
        <fgColor rgb="FFFFFFCC"/>
        <bgColor rgb="FFFFFFCC"/>
      </patternFill>
    </fill>
    <fill>
      <patternFill patternType="solid">
        <fgColor rgb="FFCCFFFF"/>
        <bgColor rgb="FFCCFFFF"/>
      </patternFill>
    </fill>
    <fill>
      <patternFill patternType="solid">
        <fgColor rgb="FFC0C0C0"/>
        <bgColor rgb="FFC0C0C0"/>
      </patternFill>
    </fill>
    <fill>
      <patternFill patternType="solid">
        <fgColor rgb="FFFFFF99"/>
        <bgColor rgb="FFFFFF99"/>
      </patternFill>
    </fill>
    <fill>
      <patternFill patternType="solid">
        <fgColor rgb="FF99CCFF"/>
        <bgColor rgb="FF99CCFF"/>
      </patternFill>
    </fill>
    <fill>
      <patternFill patternType="solid">
        <fgColor rgb="FF33CCCC"/>
        <bgColor rgb="FF33CCCC"/>
      </patternFill>
    </fill>
    <fill>
      <patternFill patternType="solid">
        <fgColor rgb="FFFF0000"/>
        <bgColor rgb="FFFF0000"/>
      </patternFill>
    </fill>
    <fill>
      <patternFill patternType="solid">
        <fgColor rgb="FF339966"/>
        <bgColor rgb="FF339966"/>
      </patternFill>
    </fill>
    <fill>
      <patternFill patternType="solid">
        <fgColor rgb="FF666699"/>
        <bgColor rgb="FF666699"/>
      </patternFill>
    </fill>
    <fill>
      <patternFill patternType="solid">
        <fgColor rgb="FFFF6600"/>
        <bgColor rgb="FFFF6600"/>
      </patternFill>
    </fill>
    <fill>
      <patternFill patternType="solid">
        <fgColor rgb="FFFF99CC"/>
        <bgColor rgb="FFFF99CC"/>
      </patternFill>
    </fill>
    <fill>
      <patternFill patternType="solid">
        <fgColor rgb="FFFFFFFF"/>
        <bgColor rgb="FFFFFFFF"/>
      </patternFill>
    </fill>
    <fill>
      <patternFill patternType="solid">
        <fgColor rgb="FF969696"/>
        <bgColor rgb="FF969696"/>
      </patternFill>
    </fill>
    <fill>
      <patternFill patternType="solid">
        <fgColor rgb="FFCCFFCC"/>
        <bgColor rgb="FFCCFFCC"/>
      </patternFill>
    </fill>
    <fill>
      <patternFill patternType="solid">
        <fgColor theme="2"/>
        <bgColor indexed="64"/>
      </patternFill>
    </fill>
    <fill>
      <patternFill patternType="solid">
        <fgColor rgb="FFFFC000"/>
        <bgColor indexed="64"/>
      </patternFill>
    </fill>
    <fill>
      <patternFill patternType="solid">
        <fgColor theme="0" tint="-4.9989318521683403E-2"/>
        <bgColor indexed="64"/>
      </patternFill>
    </fill>
    <fill>
      <patternFill patternType="solid">
        <fgColor indexed="36"/>
      </patternFill>
    </fill>
    <fill>
      <patternFill patternType="solid">
        <fgColor indexed="47"/>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9" tint="0.79998168889431442"/>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FFFF"/>
        <bgColor indexed="64"/>
      </patternFill>
    </fill>
    <fill>
      <patternFill patternType="solid">
        <fgColor rgb="FFFFFF00"/>
        <bgColor indexed="64"/>
      </patternFill>
    </fill>
    <fill>
      <patternFill patternType="solid">
        <fgColor rgb="FF1F4E79"/>
        <bgColor indexed="64"/>
      </patternFill>
    </fill>
    <fill>
      <patternFill patternType="solid">
        <fgColor rgb="FFF2F2F2"/>
        <bgColor indexed="64"/>
      </patternFill>
    </fill>
    <fill>
      <patternFill patternType="solid">
        <fgColor rgb="FFE2EFDA"/>
        <bgColor indexed="64"/>
      </patternFill>
    </fill>
    <fill>
      <patternFill patternType="solid">
        <fgColor rgb="FFFFF2CC"/>
        <bgColor indexed="64"/>
      </patternFill>
    </fill>
    <fill>
      <patternFill patternType="solid">
        <fgColor rgb="FFD6E4F0"/>
        <bgColor indexed="64"/>
      </patternFill>
    </fill>
    <fill>
      <patternFill patternType="solid">
        <fgColor rgb="FFC00000"/>
        <bgColor indexed="64"/>
      </patternFill>
    </fill>
    <fill>
      <patternFill patternType="solid">
        <fgColor rgb="FFF2DCDB"/>
        <bgColor indexed="64"/>
      </patternFill>
    </fill>
    <fill>
      <patternFill patternType="solid">
        <fgColor rgb="FFFCE4EC"/>
        <bgColor indexed="64"/>
      </patternFill>
    </fill>
    <fill>
      <patternFill patternType="solid">
        <fgColor rgb="FF1F2937"/>
        <bgColor indexed="64"/>
      </patternFill>
    </fill>
    <fill>
      <patternFill patternType="solid">
        <fgColor rgb="FF4472C4"/>
        <bgColor indexed="64"/>
      </patternFill>
    </fill>
    <fill>
      <patternFill patternType="solid">
        <fgColor rgb="FFF9F9F9"/>
        <bgColor indexed="64"/>
      </patternFill>
    </fill>
  </fills>
  <borders count="5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bottom style="thick">
        <color theme="0"/>
      </bottom>
      <diagonal/>
    </border>
    <border>
      <left/>
      <right/>
      <top style="thin">
        <color theme="0"/>
      </top>
      <bottom style="thin">
        <color theme="0"/>
      </bottom>
      <diagonal/>
    </border>
    <border>
      <left/>
      <right style="thin">
        <color theme="0"/>
      </right>
      <top/>
      <bottom style="thin">
        <color theme="0"/>
      </bottom>
      <diagonal/>
    </border>
    <border>
      <left/>
      <right style="thin">
        <color theme="0"/>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n">
        <color rgb="FF33CCCC"/>
      </bottom>
      <diagonal/>
    </border>
    <border>
      <left/>
      <right/>
      <top/>
      <bottom style="thin">
        <color rgb="FFC0C0C0"/>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33CCCC"/>
      </top>
      <bottom style="double">
        <color rgb="FF33CCCC"/>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style="medium">
        <color rgb="FF000000"/>
      </right>
      <top/>
      <bottom style="medium">
        <color rgb="FF000000"/>
      </bottom>
      <diagonal/>
    </border>
    <border>
      <left/>
      <right/>
      <top/>
      <bottom style="double">
        <color auto="1"/>
      </bottom>
      <diagonal/>
    </border>
    <border>
      <left/>
      <right/>
      <top style="thin">
        <color indexed="64"/>
      </top>
      <bottom style="double">
        <color auto="1"/>
      </bottom>
      <diagonal/>
    </border>
    <border>
      <left/>
      <right/>
      <top style="double">
        <color auto="1"/>
      </top>
      <bottom style="thin">
        <color auto="1"/>
      </bottom>
      <diagonal/>
    </border>
  </borders>
  <cellStyleXfs count="3213">
    <xf numFmtId="0" fontId="0" fillId="0" borderId="0"/>
    <xf numFmtId="0" fontId="3" fillId="0" borderId="0" applyNumberFormat="0" applyFill="0" applyBorder="0" applyAlignment="0" applyProtection="0"/>
    <xf numFmtId="0" fontId="22" fillId="0" borderId="0"/>
    <xf numFmtId="0" fontId="24" fillId="0" borderId="0"/>
    <xf numFmtId="0" fontId="23" fillId="0" borderId="0"/>
    <xf numFmtId="0" fontId="23" fillId="0" borderId="0"/>
    <xf numFmtId="9" fontId="23" fillId="0" borderId="0" applyFont="0" applyFill="0" applyBorder="0" applyAlignment="0" applyProtection="0"/>
    <xf numFmtId="0" fontId="25" fillId="35" borderId="15" applyFill="0" applyBorder="0">
      <alignment horizontal="center"/>
    </xf>
    <xf numFmtId="0" fontId="26" fillId="36" borderId="16">
      <alignment horizontal="center" vertical="center"/>
    </xf>
    <xf numFmtId="0" fontId="27" fillId="37" borderId="17">
      <alignment horizontal="center" vertical="center"/>
    </xf>
    <xf numFmtId="0" fontId="23" fillId="38" borderId="18">
      <alignment horizontal="center" vertical="center"/>
    </xf>
    <xf numFmtId="0" fontId="23" fillId="39" borderId="19">
      <alignment horizontal="center" vertical="center"/>
    </xf>
    <xf numFmtId="0" fontId="26" fillId="40" borderId="16">
      <alignment horizontal="center" vertical="center"/>
    </xf>
    <xf numFmtId="166" fontId="22" fillId="0" borderId="0" applyFont="0" applyFill="0" applyBorder="0" applyAlignment="0" applyProtection="0"/>
    <xf numFmtId="9" fontId="2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2" fillId="0" borderId="0"/>
    <xf numFmtId="9" fontId="22" fillId="0" borderId="0" applyFont="0" applyFill="0" applyBorder="0" applyAlignment="0" applyProtection="0"/>
    <xf numFmtId="164" fontId="24"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2" fillId="0" borderId="0"/>
    <xf numFmtId="9" fontId="22" fillId="0" borderId="0" applyFont="0" applyFill="0" applyBorder="0" applyAlignment="0" applyProtection="0"/>
    <xf numFmtId="166" fontId="2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3" fillId="0" borderId="0"/>
    <xf numFmtId="9" fontId="23" fillId="0" borderId="0" applyFont="0" applyFill="0" applyBorder="0" applyAlignment="0" applyProtection="0"/>
    <xf numFmtId="166" fontId="23" fillId="0" borderId="0" applyFont="0" applyFill="0" applyBorder="0" applyAlignment="0" applyProtection="0"/>
    <xf numFmtId="168" fontId="28" fillId="0" borderId="0"/>
    <xf numFmtId="0" fontId="29" fillId="41"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29" fillId="50" borderId="0" applyNumberFormat="0" applyBorder="0" applyAlignment="0" applyProtection="0"/>
    <xf numFmtId="0" fontId="30" fillId="51"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30"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0" fillId="55" borderId="0" applyNumberFormat="0" applyBorder="0" applyAlignment="0" applyProtection="0"/>
    <xf numFmtId="0" fontId="30" fillId="56" borderId="0" applyNumberFormat="0" applyBorder="0" applyAlignment="0" applyProtection="0"/>
    <xf numFmtId="0" fontId="30" fillId="57" borderId="0" applyNumberFormat="0" applyBorder="0" applyAlignment="0" applyProtection="0"/>
    <xf numFmtId="0" fontId="30" fillId="52" borderId="0" applyNumberFormat="0" applyBorder="0" applyAlignment="0" applyProtection="0"/>
    <xf numFmtId="0" fontId="30" fillId="53" borderId="0" applyNumberFormat="0" applyBorder="0" applyAlignment="0" applyProtection="0"/>
    <xf numFmtId="0" fontId="30" fillId="58" borderId="0" applyNumberFormat="0" applyBorder="0" applyAlignment="0" applyProtection="0"/>
    <xf numFmtId="0" fontId="31" fillId="46" borderId="20" applyNumberFormat="0" applyAlignment="0" applyProtection="0"/>
    <xf numFmtId="0" fontId="32" fillId="59" borderId="21" applyNumberFormat="0" applyAlignment="0" applyProtection="0"/>
    <xf numFmtId="0" fontId="33" fillId="43" borderId="0" applyNumberFormat="0" applyBorder="0" applyAlignment="0" applyProtection="0"/>
    <xf numFmtId="0" fontId="34" fillId="0" borderId="22" applyNumberFormat="0" applyFill="0" applyAlignment="0" applyProtection="0"/>
    <xf numFmtId="0" fontId="35" fillId="60" borderId="23" applyNumberFormat="0" applyAlignment="0" applyProtection="0"/>
    <xf numFmtId="0" fontId="36" fillId="0" borderId="24" applyNumberFormat="0" applyFill="0" applyAlignment="0" applyProtection="0"/>
    <xf numFmtId="0" fontId="37" fillId="0" borderId="25" applyNumberFormat="0" applyFill="0" applyAlignment="0" applyProtection="0"/>
    <xf numFmtId="0" fontId="38" fillId="0" borderId="26" applyNumberFormat="0" applyFill="0" applyAlignment="0" applyProtection="0"/>
    <xf numFmtId="0" fontId="38" fillId="0" borderId="0" applyNumberFormat="0" applyFill="0" applyBorder="0" applyAlignment="0" applyProtection="0"/>
    <xf numFmtId="0" fontId="39" fillId="61" borderId="0" applyNumberFormat="0" applyBorder="0" applyAlignment="0" applyProtection="0"/>
    <xf numFmtId="0" fontId="40" fillId="59" borderId="20" applyNumberFormat="0" applyAlignment="0" applyProtection="0"/>
    <xf numFmtId="0" fontId="41" fillId="0" borderId="27"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24" fillId="62" borderId="28" applyNumberFormat="0" applyAlignment="0" applyProtection="0"/>
    <xf numFmtId="0" fontId="45" fillId="42" borderId="0" applyNumberFormat="0" applyBorder="0" applyAlignment="0" applyProtection="0"/>
    <xf numFmtId="0" fontId="23" fillId="0" borderId="0"/>
    <xf numFmtId="9"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9" fontId="23" fillId="0" borderId="0" applyFont="0" applyFill="0" applyBorder="0" applyAlignment="0" applyProtection="0"/>
    <xf numFmtId="0" fontId="23" fillId="0" borderId="0"/>
    <xf numFmtId="0" fontId="46" fillId="0" borderId="0"/>
    <xf numFmtId="170" fontId="46" fillId="0" borderId="0" applyFont="0" applyBorder="0" applyProtection="0"/>
    <xf numFmtId="0" fontId="28" fillId="63" borderId="0" applyNumberFormat="0" applyBorder="0" applyProtection="0"/>
    <xf numFmtId="0" fontId="28" fillId="64" borderId="0" applyNumberFormat="0" applyBorder="0" applyProtection="0"/>
    <xf numFmtId="0" fontId="28" fillId="65" borderId="0" applyNumberFormat="0" applyBorder="0" applyProtection="0"/>
    <xf numFmtId="0" fontId="28" fillId="63" borderId="0" applyNumberFormat="0" applyBorder="0" applyProtection="0"/>
    <xf numFmtId="0" fontId="28" fillId="66" borderId="0" applyNumberFormat="0" applyBorder="0" applyProtection="0"/>
    <xf numFmtId="0" fontId="28" fillId="65" borderId="0" applyNumberFormat="0" applyBorder="0" applyProtection="0"/>
    <xf numFmtId="0" fontId="28" fillId="67" borderId="0" applyNumberFormat="0" applyBorder="0" applyProtection="0"/>
    <xf numFmtId="0" fontId="28" fillId="64" borderId="0" applyNumberFormat="0" applyBorder="0" applyProtection="0"/>
    <xf numFmtId="0" fontId="28" fillId="68" borderId="0" applyNumberFormat="0" applyBorder="0" applyProtection="0"/>
    <xf numFmtId="0" fontId="28" fillId="67" borderId="0" applyNumberFormat="0" applyBorder="0" applyProtection="0"/>
    <xf numFmtId="0" fontId="28" fillId="69" borderId="0" applyNumberFormat="0" applyBorder="0" applyProtection="0"/>
    <xf numFmtId="0" fontId="28" fillId="68" borderId="0" applyNumberFormat="0" applyBorder="0" applyProtection="0"/>
    <xf numFmtId="0" fontId="47" fillId="70" borderId="0" applyNumberFormat="0" applyBorder="0" applyProtection="0"/>
    <xf numFmtId="0" fontId="47" fillId="64" borderId="0" applyNumberFormat="0" applyBorder="0" applyProtection="0"/>
    <xf numFmtId="0" fontId="47" fillId="68" borderId="0" applyNumberFormat="0" applyBorder="0" applyProtection="0"/>
    <xf numFmtId="0" fontId="47" fillId="67" borderId="0" applyNumberFormat="0" applyBorder="0" applyProtection="0"/>
    <xf numFmtId="0" fontId="47" fillId="70" borderId="0" applyNumberFormat="0" applyBorder="0" applyProtection="0"/>
    <xf numFmtId="0" fontId="47" fillId="64" borderId="0" applyNumberFormat="0" applyBorder="0" applyProtection="0"/>
    <xf numFmtId="0" fontId="47" fillId="70" borderId="0" applyNumberFormat="0" applyBorder="0" applyProtection="0"/>
    <xf numFmtId="0" fontId="47" fillId="71" borderId="0" applyNumberFormat="0" applyBorder="0" applyProtection="0"/>
    <xf numFmtId="0" fontId="47" fillId="72" borderId="0" applyNumberFormat="0" applyBorder="0" applyProtection="0"/>
    <xf numFmtId="0" fontId="47" fillId="73" borderId="0" applyNumberFormat="0" applyBorder="0" applyProtection="0"/>
    <xf numFmtId="0" fontId="47" fillId="70" borderId="0" applyNumberFormat="0" applyBorder="0" applyProtection="0"/>
    <xf numFmtId="0" fontId="47" fillId="74" borderId="0" applyNumberFormat="0" applyBorder="0" applyProtection="0"/>
    <xf numFmtId="0" fontId="48" fillId="75" borderId="0" applyNumberFormat="0" applyBorder="0" applyProtection="0"/>
    <xf numFmtId="0" fontId="49" fillId="76" borderId="29" applyNumberFormat="0" applyProtection="0"/>
    <xf numFmtId="0" fontId="50" fillId="77" borderId="30" applyNumberFormat="0" applyProtection="0"/>
    <xf numFmtId="0" fontId="51" fillId="0" borderId="0" applyNumberFormat="0" applyBorder="0" applyProtection="0"/>
    <xf numFmtId="0" fontId="52" fillId="78" borderId="0" applyNumberFormat="0" applyBorder="0" applyProtection="0"/>
    <xf numFmtId="0" fontId="53" fillId="0" borderId="31" applyNumberFormat="0" applyProtection="0"/>
    <xf numFmtId="0" fontId="54" fillId="0" borderId="32" applyNumberFormat="0" applyProtection="0"/>
    <xf numFmtId="0" fontId="55" fillId="0" borderId="31" applyNumberFormat="0" applyProtection="0"/>
    <xf numFmtId="0" fontId="55" fillId="0" borderId="0" applyNumberFormat="0" applyBorder="0" applyProtection="0"/>
    <xf numFmtId="0" fontId="56" fillId="0" borderId="0" applyNumberFormat="0" applyBorder="0" applyProtection="0"/>
    <xf numFmtId="0" fontId="57" fillId="68" borderId="29" applyNumberFormat="0" applyProtection="0"/>
    <xf numFmtId="0" fontId="58" fillId="0" borderId="33" applyNumberFormat="0" applyProtection="0"/>
    <xf numFmtId="0" fontId="59" fillId="68" borderId="0" applyNumberFormat="0" applyBorder="0" applyProtection="0"/>
    <xf numFmtId="0" fontId="46" fillId="65" borderId="34" applyNumberFormat="0" applyFont="0" applyProtection="0"/>
    <xf numFmtId="0" fontId="60" fillId="76" borderId="35" applyNumberFormat="0" applyProtection="0"/>
    <xf numFmtId="0" fontId="61" fillId="0" borderId="0" applyNumberFormat="0" applyBorder="0" applyProtection="0"/>
    <xf numFmtId="0" fontId="62" fillId="0" borderId="36" applyNumberFormat="0" applyProtection="0"/>
    <xf numFmtId="0" fontId="63" fillId="0" borderId="0" applyNumberFormat="0" applyBorder="0" applyProtection="0"/>
    <xf numFmtId="0" fontId="64" fillId="0" borderId="0" applyNumberFormat="0" applyBorder="0" applyProtection="0">
      <alignment horizontal="center"/>
    </xf>
    <xf numFmtId="0" fontId="64" fillId="0" borderId="0" applyNumberFormat="0" applyBorder="0" applyProtection="0">
      <alignment horizontal="center" textRotation="90"/>
    </xf>
    <xf numFmtId="168" fontId="65" fillId="0" borderId="0" applyBorder="0" applyProtection="0"/>
    <xf numFmtId="171" fontId="46" fillId="0" borderId="0" applyFont="0" applyBorder="0" applyProtection="0"/>
    <xf numFmtId="0" fontId="66" fillId="0" borderId="0" applyNumberFormat="0" applyBorder="0" applyProtection="0"/>
    <xf numFmtId="169" fontId="66" fillId="0" borderId="0" applyBorder="0" applyProtection="0"/>
    <xf numFmtId="172" fontId="46" fillId="0" borderId="0" applyFont="0" applyBorder="0" applyProtection="0"/>
    <xf numFmtId="0" fontId="24" fillId="0" borderId="0"/>
    <xf numFmtId="173" fontId="67" fillId="0" borderId="0" applyFill="0" applyBorder="0" applyAlignment="0" applyProtection="0"/>
    <xf numFmtId="0" fontId="24" fillId="0" borderId="0"/>
    <xf numFmtId="9" fontId="67" fillId="0" borderId="0" applyFill="0" applyBorder="0" applyAlignment="0" applyProtection="0"/>
    <xf numFmtId="174" fontId="67" fillId="0" borderId="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166" fontId="22" fillId="0" borderId="0" applyFont="0" applyFill="0" applyBorder="0" applyAlignment="0" applyProtection="0"/>
    <xf numFmtId="0" fontId="2" fillId="0" borderId="0"/>
    <xf numFmtId="9" fontId="22" fillId="0" borderId="0" applyFont="0" applyFill="0" applyBorder="0" applyAlignment="0" applyProtection="0"/>
    <xf numFmtId="9" fontId="22" fillId="0" borderId="0" applyFont="0" applyFill="0" applyBorder="0" applyAlignment="0" applyProtection="0"/>
    <xf numFmtId="164" fontId="24" fillId="0" borderId="0" applyFont="0" applyFill="0" applyBorder="0" applyAlignment="0" applyProtection="0"/>
    <xf numFmtId="0" fontId="68" fillId="0" borderId="0"/>
    <xf numFmtId="0" fontId="68" fillId="0" borderId="0"/>
    <xf numFmtId="0" fontId="2" fillId="0" borderId="0"/>
    <xf numFmtId="166" fontId="2" fillId="0" borderId="0" applyFont="0" applyFill="0" applyBorder="0" applyAlignment="0" applyProtection="0"/>
    <xf numFmtId="0" fontId="23" fillId="0" borderId="0"/>
    <xf numFmtId="0" fontId="22" fillId="0" borderId="0"/>
    <xf numFmtId="0" fontId="23" fillId="0" borderId="0"/>
    <xf numFmtId="0" fontId="72" fillId="0" borderId="0"/>
    <xf numFmtId="0" fontId="2" fillId="0" borderId="0"/>
    <xf numFmtId="0" fontId="22" fillId="0" borderId="0"/>
    <xf numFmtId="164" fontId="2" fillId="0" borderId="0" applyFont="0" applyFill="0" applyBorder="0" applyAlignment="0" applyProtection="0"/>
    <xf numFmtId="166" fontId="22" fillId="0" borderId="0" applyFont="0" applyFill="0" applyBorder="0" applyAlignment="0" applyProtection="0"/>
    <xf numFmtId="0" fontId="70" fillId="0" borderId="0"/>
    <xf numFmtId="0" fontId="2" fillId="0" borderId="0"/>
    <xf numFmtId="164" fontId="2" fillId="0" borderId="0" applyFont="0" applyFill="0" applyBorder="0" applyAlignment="0" applyProtection="0"/>
    <xf numFmtId="0" fontId="71" fillId="0" borderId="0"/>
    <xf numFmtId="0" fontId="24" fillId="0" borderId="0"/>
    <xf numFmtId="0" fontId="23" fillId="0" borderId="0"/>
    <xf numFmtId="0" fontId="23" fillId="0" borderId="0"/>
    <xf numFmtId="9" fontId="23" fillId="0" borderId="0" applyFont="0" applyFill="0" applyBorder="0" applyAlignment="0" applyProtection="0"/>
    <xf numFmtId="0" fontId="72" fillId="0" borderId="0"/>
    <xf numFmtId="0" fontId="65" fillId="0" borderId="0"/>
    <xf numFmtId="0" fontId="2" fillId="0" borderId="0"/>
    <xf numFmtId="0" fontId="2" fillId="0" borderId="0"/>
    <xf numFmtId="0" fontId="22" fillId="0" borderId="0"/>
    <xf numFmtId="166"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2" fillId="0" borderId="0"/>
    <xf numFmtId="9" fontId="2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6" fontId="2" fillId="0" borderId="0" applyFont="0" applyFill="0" applyBorder="0" applyAlignment="0" applyProtection="0"/>
    <xf numFmtId="166" fontId="24" fillId="0" borderId="0" applyFont="0" applyFill="0" applyBorder="0" applyAlignment="0" applyProtection="0"/>
    <xf numFmtId="0" fontId="73" fillId="0" borderId="0"/>
    <xf numFmtId="166" fontId="73" fillId="0" borderId="0" applyFont="0" applyFill="0" applyBorder="0" applyAlignment="0" applyProtection="0"/>
    <xf numFmtId="0" fontId="30" fillId="85" borderId="0" applyNumberFormat="0" applyBorder="0" applyAlignment="0" applyProtection="0"/>
    <xf numFmtId="0" fontId="30" fillId="86" borderId="0" applyNumberFormat="0" applyBorder="0" applyAlignment="0" applyProtection="0"/>
    <xf numFmtId="0" fontId="30" fillId="87" borderId="0" applyNumberFormat="0" applyBorder="0" applyAlignment="0" applyProtection="0"/>
    <xf numFmtId="0" fontId="30" fillId="82" borderId="0" applyNumberFormat="0" applyBorder="0" applyAlignment="0" applyProtection="0"/>
    <xf numFmtId="0" fontId="30" fillId="84" borderId="0" applyNumberFormat="0" applyBorder="0" applyAlignment="0" applyProtection="0"/>
    <xf numFmtId="0" fontId="30" fillId="88" borderId="0" applyNumberFormat="0" applyBorder="0" applyAlignment="0" applyProtection="0"/>
    <xf numFmtId="49" fontId="74" fillId="0" borderId="0" applyFont="0" applyFill="0" applyAlignment="0" applyProtection="0"/>
    <xf numFmtId="0" fontId="31" fillId="83" borderId="20" applyNumberFormat="0" applyAlignment="0" applyProtection="0"/>
    <xf numFmtId="0" fontId="32" fillId="89" borderId="21" applyNumberFormat="0" applyAlignment="0" applyProtection="0"/>
    <xf numFmtId="0" fontId="35" fillId="90" borderId="23" applyNumberFormat="0" applyAlignment="0" applyProtection="0"/>
    <xf numFmtId="0" fontId="40" fillId="89" borderId="20" applyNumberFormat="0" applyAlignment="0" applyProtection="0"/>
    <xf numFmtId="0" fontId="24" fillId="91" borderId="28" applyNumberFormat="0" applyFont="0" applyAlignment="0" applyProtection="0"/>
    <xf numFmtId="0" fontId="24" fillId="0" borderId="0"/>
    <xf numFmtId="166" fontId="24" fillId="0" borderId="0" applyFont="0" applyFill="0" applyBorder="0" applyAlignment="0" applyProtection="0"/>
    <xf numFmtId="9" fontId="2" fillId="0" borderId="0" applyFon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71" fillId="0" borderId="0"/>
    <xf numFmtId="0" fontId="76" fillId="0" borderId="0"/>
    <xf numFmtId="175" fontId="78" fillId="0" borderId="0" applyBorder="0" applyProtection="0"/>
    <xf numFmtId="0" fontId="79" fillId="0" borderId="0" applyNumberFormat="0" applyBorder="0" applyProtection="0">
      <alignment horizontal="center" textRotation="90"/>
    </xf>
    <xf numFmtId="0" fontId="77" fillId="6" borderId="5" applyNumberFormat="0" applyAlignment="0" applyProtection="0"/>
    <xf numFmtId="0" fontId="80" fillId="0" borderId="0" applyNumberFormat="0" applyBorder="0" applyProtection="0"/>
    <xf numFmtId="176" fontId="80" fillId="0" borderId="0" applyBorder="0" applyProtection="0"/>
    <xf numFmtId="49" fontId="78" fillId="0" borderId="0" applyFont="0" applyAlignment="0">
      <alignment horizontal="center"/>
    </xf>
    <xf numFmtId="0" fontId="81" fillId="0" borderId="0"/>
    <xf numFmtId="0" fontId="24" fillId="0" borderId="0"/>
    <xf numFmtId="43" fontId="24" fillId="0" borderId="0" applyFont="0" applyFill="0" applyBorder="0" applyAlignment="0" applyProtection="0"/>
    <xf numFmtId="0" fontId="30" fillId="85" borderId="0" applyNumberFormat="0" applyBorder="0" applyAlignment="0" applyProtection="0"/>
    <xf numFmtId="0" fontId="30" fillId="86" borderId="0" applyNumberFormat="0" applyBorder="0" applyAlignment="0" applyProtection="0"/>
    <xf numFmtId="0" fontId="30" fillId="87" borderId="0" applyNumberFormat="0" applyBorder="0" applyAlignment="0" applyProtection="0"/>
    <xf numFmtId="0" fontId="30" fillId="82" borderId="0" applyNumberFormat="0" applyBorder="0" applyAlignment="0" applyProtection="0"/>
    <xf numFmtId="0" fontId="30" fillId="84" borderId="0" applyNumberFormat="0" applyBorder="0" applyAlignment="0" applyProtection="0"/>
    <xf numFmtId="0" fontId="30" fillId="88" borderId="0" applyNumberFormat="0" applyBorder="0" applyAlignment="0" applyProtection="0"/>
    <xf numFmtId="0" fontId="31" fillId="83" borderId="20" applyNumberFormat="0" applyAlignment="0" applyProtection="0"/>
    <xf numFmtId="0" fontId="32" fillId="89" borderId="21" applyNumberFormat="0" applyAlignment="0" applyProtection="0"/>
    <xf numFmtId="0" fontId="35" fillId="90" borderId="23" applyNumberFormat="0" applyAlignment="0" applyProtection="0"/>
    <xf numFmtId="0" fontId="40" fillId="89" borderId="20" applyNumberFormat="0" applyAlignment="0" applyProtection="0"/>
    <xf numFmtId="0" fontId="24" fillId="91" borderId="28" applyNumberFormat="0" applyFont="0" applyAlignment="0" applyProtection="0"/>
    <xf numFmtId="0" fontId="24" fillId="0" borderId="0"/>
    <xf numFmtId="0" fontId="82" fillId="0" borderId="0" applyNumberFormat="0" applyFill="0" applyBorder="0" applyAlignment="0" applyProtection="0"/>
    <xf numFmtId="0" fontId="83" fillId="0" borderId="1" applyNumberFormat="0" applyFill="0" applyAlignment="0" applyProtection="0"/>
    <xf numFmtId="0" fontId="84" fillId="0" borderId="2" applyNumberFormat="0" applyFill="0" applyAlignment="0" applyProtection="0"/>
    <xf numFmtId="0" fontId="85" fillId="0" borderId="3" applyNumberFormat="0" applyFill="0" applyAlignment="0" applyProtection="0"/>
    <xf numFmtId="0" fontId="85" fillId="0" borderId="0" applyNumberFormat="0" applyFill="0" applyBorder="0" applyAlignment="0" applyProtection="0"/>
    <xf numFmtId="0" fontId="86" fillId="2" borderId="0" applyNumberFormat="0" applyBorder="0" applyAlignment="0" applyProtection="0"/>
    <xf numFmtId="0" fontId="87" fillId="3" borderId="0" applyNumberFormat="0" applyBorder="0" applyAlignment="0" applyProtection="0"/>
    <xf numFmtId="0" fontId="88" fillId="4" borderId="0" applyNumberFormat="0" applyBorder="0" applyAlignment="0" applyProtection="0"/>
    <xf numFmtId="0" fontId="89" fillId="5" borderId="4" applyNumberFormat="0" applyAlignment="0" applyProtection="0"/>
    <xf numFmtId="0" fontId="90" fillId="6" borderId="4" applyNumberFormat="0" applyAlignment="0" applyProtection="0"/>
    <xf numFmtId="0" fontId="91" fillId="0" borderId="6" applyNumberFormat="0" applyFill="0" applyAlignment="0" applyProtection="0"/>
    <xf numFmtId="0" fontId="92" fillId="7" borderId="7" applyNumberFormat="0" applyAlignment="0" applyProtection="0"/>
    <xf numFmtId="0" fontId="93" fillId="0" borderId="0" applyNumberFormat="0" applyFill="0" applyBorder="0" applyAlignment="0" applyProtection="0"/>
    <xf numFmtId="0" fontId="81" fillId="8" borderId="8" applyNumberFormat="0" applyFont="0" applyAlignment="0" applyProtection="0"/>
    <xf numFmtId="0" fontId="94" fillId="0" borderId="0" applyNumberFormat="0" applyFill="0" applyBorder="0" applyAlignment="0" applyProtection="0"/>
    <xf numFmtId="0" fontId="95" fillId="0" borderId="9" applyNumberFormat="0" applyFill="0" applyAlignment="0" applyProtection="0"/>
    <xf numFmtId="0" fontId="96" fillId="9" borderId="0" applyNumberFormat="0" applyBorder="0" applyAlignment="0" applyProtection="0"/>
    <xf numFmtId="0" fontId="81" fillId="10" borderId="0" applyNumberFormat="0" applyBorder="0" applyAlignment="0" applyProtection="0"/>
    <xf numFmtId="0" fontId="81" fillId="11" borderId="0" applyNumberFormat="0" applyBorder="0" applyAlignment="0" applyProtection="0"/>
    <xf numFmtId="0" fontId="96" fillId="12" borderId="0" applyNumberFormat="0" applyBorder="0" applyAlignment="0" applyProtection="0"/>
    <xf numFmtId="0" fontId="96" fillId="13" borderId="0" applyNumberFormat="0" applyBorder="0" applyAlignment="0" applyProtection="0"/>
    <xf numFmtId="0" fontId="81" fillId="14" borderId="0" applyNumberFormat="0" applyBorder="0" applyAlignment="0" applyProtection="0"/>
    <xf numFmtId="0" fontId="81" fillId="15"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81" fillId="18" borderId="0" applyNumberFormat="0" applyBorder="0" applyAlignment="0" applyProtection="0"/>
    <xf numFmtId="0" fontId="81" fillId="19"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81" fillId="22" borderId="0" applyNumberFormat="0" applyBorder="0" applyAlignment="0" applyProtection="0"/>
    <xf numFmtId="0" fontId="81" fillId="23"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96" fillId="32" borderId="0" applyNumberFormat="0" applyBorder="0" applyAlignment="0" applyProtection="0"/>
    <xf numFmtId="0" fontId="2"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29" fillId="50" borderId="0" applyNumberFormat="0" applyBorder="0" applyAlignment="0" applyProtection="0"/>
    <xf numFmtId="0" fontId="76" fillId="0" borderId="0"/>
    <xf numFmtId="0" fontId="30" fillId="51" borderId="0" applyNumberFormat="0" applyBorder="0" applyAlignment="0" applyProtection="0"/>
    <xf numFmtId="0" fontId="82" fillId="0" borderId="0" applyNumberFormat="0" applyFill="0" applyBorder="0" applyAlignment="0" applyProtection="0"/>
    <xf numFmtId="0" fontId="83" fillId="0" borderId="1" applyNumberFormat="0" applyFill="0" applyAlignment="0" applyProtection="0"/>
    <xf numFmtId="0" fontId="84" fillId="0" borderId="2" applyNumberFormat="0" applyFill="0" applyAlignment="0" applyProtection="0"/>
    <xf numFmtId="0" fontId="85" fillId="0" borderId="3" applyNumberFormat="0" applyFill="0" applyAlignment="0" applyProtection="0"/>
    <xf numFmtId="0" fontId="85" fillId="0" borderId="0" applyNumberFormat="0" applyFill="0" applyBorder="0" applyAlignment="0" applyProtection="0"/>
    <xf numFmtId="0" fontId="89" fillId="5" borderId="4" applyNumberFormat="0" applyAlignment="0" applyProtection="0"/>
    <xf numFmtId="0" fontId="90" fillId="6" borderId="4" applyNumberFormat="0" applyAlignment="0" applyProtection="0"/>
    <xf numFmtId="0" fontId="91" fillId="0" borderId="6" applyNumberFormat="0" applyFill="0" applyAlignment="0" applyProtection="0"/>
    <xf numFmtId="0" fontId="92" fillId="7" borderId="7" applyNumberFormat="0" applyAlignment="0" applyProtection="0"/>
    <xf numFmtId="0" fontId="93" fillId="0" borderId="0" applyNumberFormat="0" applyFill="0" applyBorder="0" applyAlignment="0" applyProtection="0"/>
    <xf numFmtId="0" fontId="81" fillId="8" borderId="8" applyNumberFormat="0" applyFont="0" applyAlignment="0" applyProtection="0"/>
    <xf numFmtId="0" fontId="94" fillId="0" borderId="0" applyNumberFormat="0" applyFill="0" applyBorder="0" applyAlignment="0" applyProtection="0"/>
    <xf numFmtId="0" fontId="95" fillId="0" borderId="9" applyNumberFormat="0" applyFill="0" applyAlignment="0" applyProtection="0"/>
    <xf numFmtId="0" fontId="96" fillId="9" borderId="0" applyNumberFormat="0" applyBorder="0" applyAlignment="0" applyProtection="0"/>
    <xf numFmtId="0" fontId="96" fillId="13" borderId="0" applyNumberFormat="0" applyBorder="0" applyAlignment="0" applyProtection="0"/>
    <xf numFmtId="0" fontId="96" fillId="17" borderId="0" applyNumberFormat="0" applyBorder="0" applyAlignment="0" applyProtection="0"/>
    <xf numFmtId="0" fontId="96" fillId="21" borderId="0" applyNumberFormat="0" applyBorder="0" applyAlignment="0" applyProtection="0"/>
    <xf numFmtId="0" fontId="96" fillId="25" borderId="0" applyNumberFormat="0" applyBorder="0" applyAlignment="0" applyProtection="0"/>
    <xf numFmtId="0" fontId="96" fillId="29" borderId="0" applyNumberFormat="0" applyBorder="0" applyAlignment="0" applyProtection="0"/>
    <xf numFmtId="178" fontId="24" fillId="0" borderId="0" applyFill="0" applyBorder="0" applyAlignment="0" applyProtection="0"/>
    <xf numFmtId="177" fontId="24" fillId="0" borderId="0" applyFill="0" applyBorder="0" applyAlignment="0" applyProtection="0"/>
    <xf numFmtId="9" fontId="24" fillId="0" borderId="0" applyFill="0" applyBorder="0" applyAlignment="0" applyProtection="0"/>
    <xf numFmtId="9" fontId="71" fillId="0" borderId="0" applyFont="0" applyFill="0" applyBorder="0" applyAlignment="0" applyProtection="0"/>
    <xf numFmtId="0" fontId="71" fillId="0" borderId="0"/>
    <xf numFmtId="0" fontId="24" fillId="0" borderId="0"/>
    <xf numFmtId="0" fontId="29" fillId="0" borderId="0"/>
    <xf numFmtId="0" fontId="71" fillId="0" borderId="0"/>
    <xf numFmtId="0" fontId="32" fillId="59" borderId="21" applyNumberFormat="0" applyAlignment="0" applyProtection="0"/>
    <xf numFmtId="0" fontId="30" fillId="58" borderId="0" applyNumberFormat="0" applyBorder="0" applyAlignment="0" applyProtection="0"/>
    <xf numFmtId="0" fontId="30" fillId="53" borderId="0" applyNumberFormat="0" applyBorder="0" applyAlignment="0" applyProtection="0"/>
    <xf numFmtId="0" fontId="36" fillId="0" borderId="24" applyNumberFormat="0" applyFill="0" applyAlignment="0" applyProtection="0"/>
    <xf numFmtId="0" fontId="29" fillId="41" borderId="0" applyNumberFormat="0" applyBorder="0" applyAlignment="0" applyProtection="0"/>
    <xf numFmtId="168" fontId="28" fillId="0" borderId="0"/>
    <xf numFmtId="0" fontId="29" fillId="44" borderId="0" applyNumberFormat="0" applyBorder="0" applyAlignment="0" applyProtection="0"/>
    <xf numFmtId="0" fontId="29" fillId="49" borderId="0" applyNumberFormat="0" applyBorder="0" applyAlignment="0" applyProtection="0"/>
    <xf numFmtId="0" fontId="30" fillId="52" borderId="0" applyNumberFormat="0" applyBorder="0" applyAlignment="0" applyProtection="0"/>
    <xf numFmtId="0" fontId="29" fillId="47" borderId="0" applyNumberFormat="0" applyBorder="0" applyAlignment="0" applyProtection="0"/>
    <xf numFmtId="0" fontId="34" fillId="0" borderId="22" applyNumberFormat="0" applyFill="0" applyAlignment="0" applyProtection="0"/>
    <xf numFmtId="0" fontId="30" fillId="55" borderId="0" applyNumberFormat="0" applyBorder="0" applyAlignment="0" applyProtection="0"/>
    <xf numFmtId="0" fontId="30" fillId="54" borderId="0" applyNumberFormat="0" applyBorder="0" applyAlignment="0" applyProtection="0"/>
    <xf numFmtId="0" fontId="30" fillId="53" borderId="0" applyNumberFormat="0" applyBorder="0" applyAlignment="0" applyProtection="0"/>
    <xf numFmtId="0" fontId="30" fillId="52" borderId="0" applyNumberFormat="0" applyBorder="0" applyAlignment="0" applyProtection="0"/>
    <xf numFmtId="0" fontId="35" fillId="60" borderId="23" applyNumberFormat="0" applyAlignment="0" applyProtection="0"/>
    <xf numFmtId="0" fontId="30" fillId="49" borderId="0" applyNumberFormat="0" applyBorder="0" applyAlignment="0" applyProtection="0"/>
    <xf numFmtId="0" fontId="37" fillId="0" borderId="25" applyNumberFormat="0" applyFill="0" applyAlignment="0" applyProtection="0"/>
    <xf numFmtId="0" fontId="29" fillId="45" borderId="0" applyNumberFormat="0" applyBorder="0" applyAlignment="0" applyProtection="0"/>
    <xf numFmtId="0" fontId="30" fillId="57" borderId="0" applyNumberFormat="0" applyBorder="0" applyAlignment="0" applyProtection="0"/>
    <xf numFmtId="0" fontId="30" fillId="56" borderId="0" applyNumberFormat="0" applyBorder="0" applyAlignment="0" applyProtection="0"/>
    <xf numFmtId="0" fontId="42" fillId="0" borderId="0" applyNumberFormat="0" applyFill="0" applyBorder="0" applyAlignment="0" applyProtection="0"/>
    <xf numFmtId="9" fontId="23" fillId="0" borderId="0" applyFont="0" applyFill="0" applyBorder="0" applyAlignment="0" applyProtection="0"/>
    <xf numFmtId="0" fontId="41" fillId="0" borderId="27" applyNumberFormat="0" applyFill="0" applyAlignment="0" applyProtection="0"/>
    <xf numFmtId="0" fontId="23" fillId="0" borderId="0"/>
    <xf numFmtId="0" fontId="40" fillId="59" borderId="20" applyNumberFormat="0" applyAlignment="0" applyProtection="0"/>
    <xf numFmtId="0" fontId="23" fillId="0" borderId="0"/>
    <xf numFmtId="0" fontId="45" fillId="42" borderId="0" applyNumberFormat="0" applyBorder="0" applyAlignment="0" applyProtection="0"/>
    <xf numFmtId="0" fontId="39" fillId="61" borderId="0" applyNumberFormat="0" applyBorder="0" applyAlignment="0" applyProtection="0"/>
    <xf numFmtId="0" fontId="24" fillId="62" borderId="28" applyNumberFormat="0" applyAlignment="0" applyProtection="0"/>
    <xf numFmtId="0" fontId="38" fillId="0" borderId="0" applyNumberFormat="0" applyFill="0" applyBorder="0" applyAlignment="0" applyProtection="0"/>
    <xf numFmtId="166" fontId="23" fillId="0" borderId="0" applyFont="0" applyFill="0" applyBorder="0" applyAlignment="0" applyProtection="0"/>
    <xf numFmtId="0" fontId="44" fillId="0" borderId="0" applyNumberFormat="0" applyFill="0" applyBorder="0" applyAlignment="0" applyProtection="0"/>
    <xf numFmtId="0" fontId="38" fillId="0" borderId="26" applyNumberFormat="0" applyFill="0" applyAlignment="0" applyProtection="0"/>
    <xf numFmtId="0" fontId="43" fillId="0" borderId="0" applyNumberFormat="0" applyFill="0" applyBorder="0" applyAlignment="0" applyProtection="0"/>
    <xf numFmtId="0" fontId="29" fillId="44" borderId="0" applyNumberFormat="0" applyBorder="0" applyAlignment="0" applyProtection="0"/>
    <xf numFmtId="166" fontId="22" fillId="0" borderId="0" applyFont="0" applyFill="0" applyBorder="0" applyAlignment="0" applyProtection="0"/>
    <xf numFmtId="0" fontId="33" fillId="43" borderId="0" applyNumberFormat="0" applyBorder="0" applyAlignment="0" applyProtection="0"/>
    <xf numFmtId="0" fontId="29" fillId="43" borderId="0" applyNumberFormat="0" applyBorder="0" applyAlignment="0" applyProtection="0"/>
    <xf numFmtId="0" fontId="29" fillId="42" borderId="0" applyNumberFormat="0" applyBorder="0" applyAlignment="0" applyProtection="0"/>
    <xf numFmtId="0" fontId="29" fillId="46" borderId="0" applyNumberFormat="0" applyBorder="0" applyAlignment="0" applyProtection="0"/>
    <xf numFmtId="0" fontId="29" fillId="48" borderId="0" applyNumberFormat="0" applyBorder="0" applyAlignment="0" applyProtection="0"/>
    <xf numFmtId="0" fontId="30" fillId="48" borderId="0" applyNumberFormat="0" applyBorder="0" applyAlignment="0" applyProtection="0"/>
    <xf numFmtId="0" fontId="31" fillId="46" borderId="20" applyNumberFormat="0" applyAlignment="0" applyProtection="0"/>
    <xf numFmtId="0" fontId="29" fillId="47" borderId="0" applyNumberFormat="0" applyBorder="0" applyAlignment="0" applyProtection="0"/>
    <xf numFmtId="0" fontId="64" fillId="0" borderId="0" applyNumberFormat="0" applyBorder="0" applyProtection="0">
      <alignment horizontal="center" textRotation="90"/>
    </xf>
    <xf numFmtId="168" fontId="65" fillId="0" borderId="0" applyBorder="0" applyProtection="0"/>
    <xf numFmtId="0" fontId="66" fillId="0" borderId="0" applyNumberFormat="0" applyBorder="0" applyProtection="0"/>
    <xf numFmtId="169" fontId="66" fillId="0" borderId="0" applyBorder="0" applyProtection="0"/>
    <xf numFmtId="0" fontId="24" fillId="0" borderId="0"/>
    <xf numFmtId="0" fontId="24" fillId="0" borderId="0"/>
    <xf numFmtId="0" fontId="2" fillId="8" borderId="8" applyNumberFormat="0" applyFont="0" applyAlignment="0" applyProtection="0"/>
    <xf numFmtId="0" fontId="22" fillId="0" borderId="0"/>
    <xf numFmtId="9" fontId="2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9" fontId="2" fillId="0" borderId="0" applyFont="0" applyFill="0" applyBorder="0" applyAlignment="0" applyProtection="0"/>
    <xf numFmtId="0" fontId="24" fillId="0" borderId="0"/>
    <xf numFmtId="0" fontId="2" fillId="0" borderId="0"/>
    <xf numFmtId="9" fontId="2"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0" fontId="2" fillId="0" borderId="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4" fillId="0" borderId="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166"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0" fontId="2" fillId="8" borderId="8" applyNumberFormat="0" applyFont="0" applyAlignment="0" applyProtection="0"/>
    <xf numFmtId="0" fontId="2" fillId="0" borderId="0"/>
    <xf numFmtId="0" fontId="2" fillId="0" borderId="0"/>
    <xf numFmtId="0" fontId="2" fillId="0" borderId="0"/>
    <xf numFmtId="0" fontId="24" fillId="0" borderId="0"/>
    <xf numFmtId="0" fontId="2" fillId="0" borderId="0"/>
    <xf numFmtId="9" fontId="2"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166"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2" fillId="0" borderId="0"/>
    <xf numFmtId="166" fontId="22" fillId="0" borderId="0" applyFont="0" applyFill="0" applyBorder="0" applyAlignment="0" applyProtection="0"/>
    <xf numFmtId="9" fontId="22" fillId="0" borderId="0" applyFont="0" applyFill="0" applyBorder="0" applyAlignment="0" applyProtection="0"/>
    <xf numFmtId="0" fontId="71" fillId="0" borderId="0"/>
    <xf numFmtId="0" fontId="23"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8" borderId="8" applyNumberFormat="0" applyFont="0" applyAlignment="0" applyProtection="0"/>
    <xf numFmtId="9" fontId="2" fillId="0" borderId="0" applyFont="0" applyFill="0" applyBorder="0" applyAlignment="0" applyProtection="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2" fillId="0" borderId="0"/>
    <xf numFmtId="9" fontId="2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166"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0" fontId="2" fillId="0" borderId="0"/>
    <xf numFmtId="166"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0" fontId="2" fillId="0" borderId="0"/>
    <xf numFmtId="166"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0" fontId="2" fillId="0" borderId="0"/>
    <xf numFmtId="166"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0" fontId="71"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8" borderId="8" applyNumberFormat="0" applyFont="0" applyAlignment="0" applyProtection="0"/>
    <xf numFmtId="9" fontId="2" fillId="0" borderId="0" applyFont="0" applyFill="0" applyBorder="0" applyAlignment="0" applyProtection="0"/>
    <xf numFmtId="0" fontId="97" fillId="0" borderId="0" applyNumberFormat="0" applyFill="0" applyBorder="0" applyAlignment="0" applyProtection="0"/>
    <xf numFmtId="0" fontId="2" fillId="0" borderId="0"/>
    <xf numFmtId="9" fontId="2"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0" fontId="2" fillId="0" borderId="0"/>
    <xf numFmtId="166"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0" fontId="97" fillId="0" borderId="0" applyNumberFormat="0" applyFill="0" applyBorder="0" applyAlignment="0" applyProtection="0"/>
    <xf numFmtId="0" fontId="82" fillId="0" borderId="0" applyNumberFormat="0" applyFill="0" applyBorder="0" applyAlignment="0" applyProtection="0"/>
    <xf numFmtId="0" fontId="2" fillId="0" borderId="0"/>
    <xf numFmtId="9" fontId="2"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166"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9" fontId="2" fillId="0" borderId="0" applyFont="0" applyFill="0" applyBorder="0" applyAlignment="0" applyProtection="0"/>
    <xf numFmtId="0" fontId="24" fillId="0" borderId="0" applyNumberFormat="0" applyFont="0" applyFill="0" applyBorder="0" applyAlignment="0" applyProtection="0"/>
    <xf numFmtId="0" fontId="24" fillId="0" borderId="0"/>
    <xf numFmtId="0" fontId="24" fillId="0" borderId="0"/>
    <xf numFmtId="0" fontId="24" fillId="0" borderId="0"/>
    <xf numFmtId="0" fontId="71" fillId="0" borderId="0"/>
    <xf numFmtId="164" fontId="2" fillId="0" borderId="0" applyFont="0" applyFill="0" applyBorder="0" applyAlignment="0" applyProtection="0"/>
    <xf numFmtId="166" fontId="98" fillId="0" borderId="0" applyFont="0" applyFill="0" applyBorder="0" applyAlignment="0" applyProtection="0"/>
    <xf numFmtId="0" fontId="98" fillId="0" borderId="0"/>
    <xf numFmtId="0" fontId="99" fillId="0" borderId="0"/>
    <xf numFmtId="0" fontId="99" fillId="0" borderId="0"/>
    <xf numFmtId="0" fontId="100" fillId="0" borderId="0"/>
    <xf numFmtId="0" fontId="99" fillId="0" borderId="0"/>
    <xf numFmtId="0" fontId="99" fillId="0" borderId="0"/>
    <xf numFmtId="0" fontId="99" fillId="0" borderId="0"/>
    <xf numFmtId="0" fontId="100" fillId="0" borderId="0"/>
    <xf numFmtId="0" fontId="99" fillId="0" borderId="0"/>
    <xf numFmtId="0" fontId="19" fillId="0" borderId="0" applyFill="0" applyAlignment="0"/>
    <xf numFmtId="0" fontId="2" fillId="0" borderId="0" applyFill="0" applyAlignment="0"/>
    <xf numFmtId="166" fontId="8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9" fillId="0" borderId="0" applyFont="0" applyFill="0" applyBorder="0" applyAlignment="0" applyProtection="0"/>
    <xf numFmtId="0" fontId="24" fillId="0" borderId="0"/>
    <xf numFmtId="164" fontId="29" fillId="0" borderId="0" applyFont="0" applyFill="0" applyBorder="0" applyAlignment="0" applyProtection="0"/>
    <xf numFmtId="164" fontId="23" fillId="0" borderId="0" applyFont="0" applyFill="0" applyBorder="0" applyAlignment="0" applyProtection="0"/>
    <xf numFmtId="164" fontId="29" fillId="0" borderId="0" applyFont="0" applyFill="0" applyBorder="0" applyAlignment="0" applyProtection="0"/>
    <xf numFmtId="0" fontId="2" fillId="0" borderId="0"/>
    <xf numFmtId="0" fontId="23" fillId="0" borderId="0"/>
    <xf numFmtId="0" fontId="23" fillId="0" borderId="0"/>
    <xf numFmtId="9" fontId="23" fillId="0" borderId="0" applyFont="0" applyFill="0" applyBorder="0" applyAlignment="0" applyProtection="0"/>
    <xf numFmtId="0" fontId="23" fillId="38" borderId="18">
      <alignment horizontal="center" vertical="center"/>
    </xf>
    <xf numFmtId="0" fontId="23" fillId="39" borderId="19">
      <alignment horizontal="center" vertical="center"/>
    </xf>
    <xf numFmtId="0" fontId="2" fillId="0" borderId="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3" fillId="0" borderId="0"/>
    <xf numFmtId="9" fontId="23" fillId="0" borderId="0" applyFont="0" applyFill="0" applyBorder="0" applyAlignment="0" applyProtection="0"/>
    <xf numFmtId="166" fontId="23" fillId="0" borderId="0" applyFont="0" applyFill="0" applyBorder="0" applyAlignment="0" applyProtection="0"/>
    <xf numFmtId="0" fontId="23" fillId="0" borderId="0"/>
    <xf numFmtId="9" fontId="23" fillId="0" borderId="0" applyFont="0" applyFill="0" applyBorder="0" applyAlignment="0" applyProtection="0"/>
    <xf numFmtId="166" fontId="23" fillId="0" borderId="0" applyFont="0" applyFill="0" applyBorder="0" applyAlignment="0" applyProtection="0"/>
    <xf numFmtId="9" fontId="23" fillId="0" borderId="0" applyFont="0" applyFill="0" applyBorder="0" applyAlignment="0" applyProtection="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8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71" fillId="0" borderId="0"/>
    <xf numFmtId="0" fontId="71" fillId="0" borderId="0"/>
    <xf numFmtId="0" fontId="71" fillId="0" borderId="0"/>
    <xf numFmtId="0" fontId="71" fillId="0" borderId="0"/>
    <xf numFmtId="166" fontId="24" fillId="0" borderId="0" applyFont="0" applyFill="0" applyBorder="0" applyAlignment="0" applyProtection="0"/>
    <xf numFmtId="0" fontId="24" fillId="0" borderId="0"/>
    <xf numFmtId="0" fontId="24" fillId="0" borderId="0"/>
    <xf numFmtId="0" fontId="24" fillId="0" borderId="0"/>
    <xf numFmtId="0" fontId="71" fillId="0" borderId="0"/>
    <xf numFmtId="0" fontId="24" fillId="0" borderId="0"/>
    <xf numFmtId="0" fontId="24" fillId="0" borderId="0"/>
    <xf numFmtId="0" fontId="24" fillId="0" borderId="0"/>
    <xf numFmtId="0" fontId="71" fillId="0" borderId="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71" fillId="0" borderId="0"/>
    <xf numFmtId="0" fontId="24" fillId="0" borderId="0"/>
    <xf numFmtId="0" fontId="24" fillId="0" borderId="0"/>
    <xf numFmtId="0" fontId="24" fillId="0" borderId="0"/>
    <xf numFmtId="0" fontId="71" fillId="0" borderId="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71" fillId="0" borderId="0"/>
    <xf numFmtId="0" fontId="24" fillId="0" borderId="0"/>
    <xf numFmtId="0" fontId="24" fillId="0" borderId="0"/>
    <xf numFmtId="0" fontId="24" fillId="0" borderId="0"/>
    <xf numFmtId="0" fontId="71" fillId="0" borderId="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71" fillId="0" borderId="0"/>
    <xf numFmtId="0" fontId="24" fillId="0" borderId="0"/>
    <xf numFmtId="0" fontId="24" fillId="0" borderId="0"/>
    <xf numFmtId="0" fontId="24" fillId="0" borderId="0"/>
    <xf numFmtId="0" fontId="71" fillId="0" borderId="0"/>
    <xf numFmtId="0" fontId="24" fillId="0" borderId="0"/>
    <xf numFmtId="166" fontId="2" fillId="0" borderId="0" applyFont="0" applyFill="0" applyBorder="0" applyAlignment="0" applyProtection="0"/>
    <xf numFmtId="0" fontId="68" fillId="0" borderId="0"/>
    <xf numFmtId="0" fontId="2" fillId="0" borderId="0"/>
    <xf numFmtId="164" fontId="2" fillId="0" borderId="0" applyFont="0" applyFill="0" applyBorder="0" applyAlignment="0" applyProtection="0"/>
    <xf numFmtId="0" fontId="68" fillId="0" borderId="0"/>
    <xf numFmtId="164" fontId="2" fillId="0" borderId="0" applyFont="0" applyFill="0" applyBorder="0" applyAlignment="0" applyProtection="0"/>
    <xf numFmtId="166" fontId="6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09" fillId="0" borderId="0"/>
    <xf numFmtId="0" fontId="2" fillId="0" borderId="0"/>
    <xf numFmtId="0" fontId="2" fillId="0" borderId="0"/>
    <xf numFmtId="0" fontId="2" fillId="0" borderId="0"/>
    <xf numFmtId="0" fontId="2" fillId="0" borderId="0"/>
    <xf numFmtId="0" fontId="2" fillId="0" borderId="0"/>
    <xf numFmtId="0" fontId="2" fillId="0" borderId="0"/>
    <xf numFmtId="0" fontId="110" fillId="0" borderId="0"/>
    <xf numFmtId="0" fontId="2" fillId="8" borderId="8" applyNumberFormat="0" applyFont="0" applyAlignment="0" applyProtection="0"/>
    <xf numFmtId="0" fontId="2" fillId="8" borderId="8" applyNumberFormat="0" applyFont="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11" fillId="0" borderId="0"/>
    <xf numFmtId="0" fontId="2" fillId="0" borderId="0"/>
    <xf numFmtId="0" fontId="24" fillId="0" borderId="0" applyFill="0" applyBorder="0" applyProtection="0">
      <protection locked="0"/>
    </xf>
    <xf numFmtId="165" fontId="2" fillId="0" borderId="0" applyFont="0" applyFill="0" applyBorder="0" applyAlignment="0" applyProtection="0"/>
    <xf numFmtId="0" fontId="114" fillId="0" borderId="0"/>
    <xf numFmtId="165" fontId="114" fillId="0" borderId="0" applyFont="0" applyFill="0" applyBorder="0" applyAlignment="0" applyProtection="0"/>
    <xf numFmtId="165" fontId="81" fillId="0" borderId="0" applyFont="0" applyFill="0" applyBorder="0" applyAlignment="0" applyProtection="0"/>
    <xf numFmtId="9" fontId="81" fillId="0" borderId="0" applyFont="0" applyFill="0" applyBorder="0" applyAlignment="0" applyProtection="0"/>
    <xf numFmtId="0" fontId="120" fillId="0" borderId="0" applyNumberFormat="0" applyFill="0" applyBorder="0" applyAlignment="0" applyProtection="0"/>
  </cellStyleXfs>
  <cellXfs count="611">
    <xf numFmtId="0" fontId="0" fillId="0" borderId="0" xfId="0"/>
    <xf numFmtId="0" fontId="19" fillId="0" borderId="0" xfId="0" applyFont="1"/>
    <xf numFmtId="0" fontId="19" fillId="0" borderId="0" xfId="0" applyFont="1" applyAlignment="1">
      <alignment vertical="center"/>
    </xf>
    <xf numFmtId="3" fontId="19" fillId="0" borderId="0" xfId="0" applyNumberFormat="1" applyFont="1" applyAlignment="1">
      <alignment vertical="center"/>
    </xf>
    <xf numFmtId="0" fontId="0" fillId="0" borderId="0" xfId="0" applyAlignment="1">
      <alignment vertical="center"/>
    </xf>
    <xf numFmtId="0" fontId="17" fillId="0" borderId="0" xfId="0" applyFont="1" applyAlignment="1">
      <alignment vertical="center"/>
    </xf>
    <xf numFmtId="0" fontId="20" fillId="0" borderId="0" xfId="0" applyFont="1" applyAlignment="1">
      <alignment vertical="center"/>
    </xf>
    <xf numFmtId="3" fontId="20" fillId="0" borderId="0" xfId="0" applyNumberFormat="1" applyFont="1" applyAlignment="1">
      <alignment vertical="center"/>
    </xf>
    <xf numFmtId="3" fontId="20" fillId="80" borderId="0" xfId="0" applyNumberFormat="1" applyFont="1" applyFill="1" applyAlignment="1">
      <alignment vertical="center"/>
    </xf>
    <xf numFmtId="0" fontId="20" fillId="0" borderId="0" xfId="0" applyFont="1"/>
    <xf numFmtId="3" fontId="0" fillId="0" borderId="0" xfId="0" applyNumberFormat="1"/>
    <xf numFmtId="0" fontId="17" fillId="0" borderId="0" xfId="0" applyFont="1"/>
    <xf numFmtId="3" fontId="17" fillId="0" borderId="0" xfId="0" applyNumberFormat="1" applyFont="1"/>
    <xf numFmtId="4" fontId="0" fillId="0" borderId="0" xfId="0" applyNumberFormat="1"/>
    <xf numFmtId="4" fontId="0" fillId="0" borderId="0" xfId="0" applyNumberFormat="1" applyAlignment="1">
      <alignment vertical="center"/>
    </xf>
    <xf numFmtId="3" fontId="19" fillId="0" borderId="46" xfId="1621" applyNumberFormat="1" applyFont="1" applyBorder="1"/>
    <xf numFmtId="164" fontId="19" fillId="0" borderId="0" xfId="1080" applyFont="1" applyBorder="1"/>
    <xf numFmtId="0" fontId="101" fillId="34" borderId="0" xfId="296" applyFont="1" applyFill="1"/>
    <xf numFmtId="3" fontId="19" fillId="0" borderId="43" xfId="1621" applyNumberFormat="1" applyFont="1" applyBorder="1"/>
    <xf numFmtId="0" fontId="21" fillId="34" borderId="0" xfId="296" applyFont="1" applyFill="1"/>
    <xf numFmtId="3" fontId="19" fillId="0" borderId="44" xfId="1621" applyNumberFormat="1" applyFont="1" applyBorder="1"/>
    <xf numFmtId="3" fontId="19" fillId="0" borderId="10" xfId="1621" applyNumberFormat="1" applyFont="1" applyBorder="1"/>
    <xf numFmtId="3" fontId="19" fillId="0" borderId="45" xfId="1621" applyNumberFormat="1" applyFont="1" applyBorder="1"/>
    <xf numFmtId="0" fontId="21" fillId="34" borderId="0" xfId="296" applyFont="1" applyFill="1" applyAlignment="1">
      <alignment horizontal="left"/>
    </xf>
    <xf numFmtId="0" fontId="22" fillId="0" borderId="0" xfId="303"/>
    <xf numFmtId="0" fontId="19" fillId="33" borderId="47" xfId="296" applyFont="1" applyFill="1" applyBorder="1" applyAlignment="1">
      <alignment horizontal="center"/>
    </xf>
    <xf numFmtId="3" fontId="20" fillId="0" borderId="10" xfId="296" applyNumberFormat="1" applyFont="1" applyBorder="1"/>
    <xf numFmtId="3" fontId="20" fillId="0" borderId="41" xfId="296" applyNumberFormat="1" applyFont="1" applyBorder="1"/>
    <xf numFmtId="3" fontId="19" fillId="0" borderId="37" xfId="296" applyNumberFormat="1" applyFont="1" applyBorder="1"/>
    <xf numFmtId="3" fontId="20" fillId="0" borderId="46" xfId="296" applyNumberFormat="1" applyFont="1" applyBorder="1"/>
    <xf numFmtId="0" fontId="19" fillId="81" borderId="43" xfId="296" applyFont="1" applyFill="1" applyBorder="1" applyAlignment="1">
      <alignment horizontal="right"/>
    </xf>
    <xf numFmtId="0" fontId="19" fillId="81" borderId="40" xfId="296" applyFont="1" applyFill="1" applyBorder="1" applyAlignment="1">
      <alignment horizontal="right"/>
    </xf>
    <xf numFmtId="3" fontId="19" fillId="0" borderId="40" xfId="1621" applyNumberFormat="1" applyFont="1" applyBorder="1"/>
    <xf numFmtId="0" fontId="19" fillId="81" borderId="0" xfId="296" applyFont="1" applyFill="1" applyAlignment="1">
      <alignment horizontal="right"/>
    </xf>
    <xf numFmtId="0" fontId="19" fillId="81" borderId="44" xfId="296" applyFont="1" applyFill="1" applyBorder="1" applyAlignment="1">
      <alignment horizontal="right"/>
    </xf>
    <xf numFmtId="3" fontId="19" fillId="0" borderId="0" xfId="296" applyNumberFormat="1" applyFont="1"/>
    <xf numFmtId="3" fontId="19" fillId="0" borderId="40" xfId="296" applyNumberFormat="1" applyFont="1" applyBorder="1"/>
    <xf numFmtId="0" fontId="17" fillId="0" borderId="0" xfId="0" applyFont="1" applyAlignment="1">
      <alignment horizontal="left"/>
    </xf>
    <xf numFmtId="3" fontId="20" fillId="93" borderId="51" xfId="296" applyNumberFormat="1" applyFont="1" applyFill="1" applyBorder="1" applyAlignment="1">
      <alignment vertical="center"/>
    </xf>
    <xf numFmtId="3" fontId="19" fillId="0" borderId="41" xfId="0" applyNumberFormat="1" applyFont="1" applyBorder="1"/>
    <xf numFmtId="3" fontId="17" fillId="0" borderId="0" xfId="0" applyNumberFormat="1" applyFont="1" applyAlignment="1">
      <alignment horizontal="right"/>
    </xf>
    <xf numFmtId="3" fontId="19" fillId="0" borderId="40" xfId="0" applyNumberFormat="1" applyFont="1" applyBorder="1"/>
    <xf numFmtId="3" fontId="20" fillId="0" borderId="37" xfId="296" applyNumberFormat="1" applyFont="1" applyBorder="1"/>
    <xf numFmtId="3" fontId="19" fillId="0" borderId="43" xfId="0" applyNumberFormat="1" applyFont="1" applyBorder="1"/>
    <xf numFmtId="0" fontId="0" fillId="0" borderId="0" xfId="0" applyAlignment="1">
      <alignment horizontal="left" indent="2"/>
    </xf>
    <xf numFmtId="3" fontId="19" fillId="0" borderId="41" xfId="1621" applyNumberFormat="1" applyFont="1" applyBorder="1"/>
    <xf numFmtId="0" fontId="20" fillId="93" borderId="51" xfId="296" applyFont="1" applyFill="1" applyBorder="1" applyAlignment="1">
      <alignment vertical="center"/>
    </xf>
    <xf numFmtId="3" fontId="0" fillId="0" borderId="0" xfId="0" applyNumberFormat="1" applyAlignment="1">
      <alignment horizontal="right"/>
    </xf>
    <xf numFmtId="0" fontId="17" fillId="79" borderId="0" xfId="0" applyFont="1" applyFill="1" applyAlignment="1">
      <alignment horizontal="left"/>
    </xf>
    <xf numFmtId="3" fontId="17" fillId="79" borderId="0" xfId="0" applyNumberFormat="1" applyFont="1" applyFill="1"/>
    <xf numFmtId="3" fontId="19" fillId="0" borderId="38" xfId="1621" applyNumberFormat="1" applyFont="1" applyBorder="1"/>
    <xf numFmtId="3" fontId="19" fillId="0" borderId="39" xfId="1621" applyNumberFormat="1" applyFont="1" applyBorder="1"/>
    <xf numFmtId="3" fontId="19" fillId="0" borderId="11" xfId="1621" applyNumberFormat="1" applyFont="1" applyBorder="1"/>
    <xf numFmtId="0" fontId="20" fillId="81" borderId="0" xfId="296" applyFont="1" applyFill="1" applyAlignment="1">
      <alignment horizontal="right"/>
    </xf>
    <xf numFmtId="0" fontId="103" fillId="0" borderId="48" xfId="149" applyFont="1" applyBorder="1" applyAlignment="1">
      <alignment horizontal="left"/>
    </xf>
    <xf numFmtId="3" fontId="0" fillId="0" borderId="0" xfId="0" applyNumberFormat="1" applyAlignment="1">
      <alignment vertical="center"/>
    </xf>
    <xf numFmtId="3" fontId="75" fillId="95" borderId="11" xfId="303" applyNumberFormat="1" applyFont="1" applyFill="1" applyBorder="1"/>
    <xf numFmtId="3" fontId="75" fillId="95" borderId="38" xfId="303" applyNumberFormat="1" applyFont="1" applyFill="1" applyBorder="1"/>
    <xf numFmtId="3" fontId="0" fillId="0" borderId="42" xfId="0" applyNumberFormat="1" applyBorder="1" applyAlignment="1">
      <alignment horizontal="right" vertical="center"/>
    </xf>
    <xf numFmtId="0" fontId="21" fillId="34" borderId="0" xfId="296" applyFont="1" applyFill="1" applyAlignment="1">
      <alignment horizontal="left" vertical="center" wrapText="1"/>
    </xf>
    <xf numFmtId="0" fontId="22" fillId="0" borderId="40" xfId="303" applyBorder="1" applyAlignment="1">
      <alignment vertical="center" wrapText="1"/>
    </xf>
    <xf numFmtId="3" fontId="75" fillId="95" borderId="39" xfId="303" applyNumberFormat="1" applyFont="1" applyFill="1" applyBorder="1"/>
    <xf numFmtId="3" fontId="0" fillId="0" borderId="44" xfId="0" applyNumberFormat="1" applyBorder="1" applyAlignment="1">
      <alignment horizontal="right" vertical="center"/>
    </xf>
    <xf numFmtId="3" fontId="20" fillId="0" borderId="52" xfId="296" applyNumberFormat="1" applyFont="1" applyBorder="1"/>
    <xf numFmtId="0" fontId="22" fillId="0" borderId="41" xfId="303" applyBorder="1" applyAlignment="1">
      <alignment wrapText="1"/>
    </xf>
    <xf numFmtId="3" fontId="0" fillId="0" borderId="45" xfId="0" applyNumberFormat="1" applyBorder="1" applyAlignment="1">
      <alignment horizontal="right" vertical="center"/>
    </xf>
    <xf numFmtId="0" fontId="75" fillId="0" borderId="0" xfId="303" applyFont="1" applyAlignment="1">
      <alignment wrapText="1"/>
    </xf>
    <xf numFmtId="0" fontId="22" fillId="0" borderId="43" xfId="303" applyBorder="1" applyAlignment="1">
      <alignment wrapText="1"/>
    </xf>
    <xf numFmtId="3" fontId="0" fillId="0" borderId="46" xfId="0" applyNumberFormat="1" applyBorder="1" applyAlignment="1">
      <alignment horizontal="right" vertical="center"/>
    </xf>
    <xf numFmtId="3" fontId="0" fillId="0" borderId="10" xfId="0" applyNumberFormat="1" applyBorder="1" applyAlignment="1">
      <alignment horizontal="right" vertical="center"/>
    </xf>
    <xf numFmtId="3" fontId="0" fillId="0" borderId="0" xfId="0" applyNumberFormat="1" applyAlignment="1">
      <alignment horizontal="right" vertical="center"/>
    </xf>
    <xf numFmtId="0" fontId="22" fillId="0" borderId="40" xfId="303" applyBorder="1" applyAlignment="1">
      <alignment wrapText="1"/>
    </xf>
    <xf numFmtId="0" fontId="21" fillId="34" borderId="0" xfId="296" applyFont="1" applyFill="1" applyAlignment="1">
      <alignment horizontal="center" vertical="center" wrapText="1"/>
    </xf>
    <xf numFmtId="0" fontId="102" fillId="0" borderId="12" xfId="296" applyFont="1" applyBorder="1" applyAlignment="1">
      <alignment horizontal="right"/>
    </xf>
    <xf numFmtId="0" fontId="20" fillId="94" borderId="13" xfId="296" applyFont="1" applyFill="1" applyBorder="1" applyAlignment="1">
      <alignment horizontal="right"/>
    </xf>
    <xf numFmtId="0" fontId="20" fillId="94" borderId="14" xfId="296" applyFont="1" applyFill="1" applyBorder="1" applyAlignment="1">
      <alignment horizontal="right"/>
    </xf>
    <xf numFmtId="0" fontId="19" fillId="0" borderId="0" xfId="296" applyFont="1"/>
    <xf numFmtId="9" fontId="19" fillId="0" borderId="0" xfId="22" applyFont="1"/>
    <xf numFmtId="3" fontId="22" fillId="0" borderId="40" xfId="303" applyNumberFormat="1" applyBorder="1"/>
    <xf numFmtId="9" fontId="17" fillId="0" borderId="0" xfId="332" applyFont="1"/>
    <xf numFmtId="3" fontId="20" fillId="0" borderId="49" xfId="296" applyNumberFormat="1" applyFont="1" applyBorder="1" applyAlignment="1">
      <alignment vertical="center"/>
    </xf>
    <xf numFmtId="9" fontId="17" fillId="0" borderId="0" xfId="0" applyNumberFormat="1" applyFont="1"/>
    <xf numFmtId="0" fontId="19" fillId="0" borderId="0" xfId="0" applyFont="1" applyAlignment="1">
      <alignment wrapText="1"/>
    </xf>
    <xf numFmtId="9" fontId="19" fillId="0" borderId="0" xfId="332" applyFont="1"/>
    <xf numFmtId="3" fontId="19" fillId="0" borderId="43" xfId="296" applyNumberFormat="1" applyFont="1" applyBorder="1" applyAlignment="1">
      <alignment horizontal="right" vertical="center"/>
    </xf>
    <xf numFmtId="3" fontId="19" fillId="0" borderId="40" xfId="296" applyNumberFormat="1" applyFont="1" applyBorder="1" applyAlignment="1">
      <alignment horizontal="right" vertical="center"/>
    </xf>
    <xf numFmtId="3" fontId="19" fillId="0" borderId="0" xfId="296" applyNumberFormat="1" applyFont="1" applyAlignment="1">
      <alignment horizontal="right" vertical="center"/>
    </xf>
    <xf numFmtId="3" fontId="19" fillId="0" borderId="44" xfId="296" applyNumberFormat="1" applyFont="1" applyBorder="1" applyAlignment="1">
      <alignment horizontal="right" vertical="center"/>
    </xf>
    <xf numFmtId="3" fontId="19" fillId="0" borderId="45" xfId="296" applyNumberFormat="1" applyFont="1" applyBorder="1" applyAlignment="1">
      <alignment horizontal="right" vertical="center"/>
    </xf>
    <xf numFmtId="3" fontId="19" fillId="0" borderId="42" xfId="296" applyNumberFormat="1" applyFont="1" applyBorder="1" applyAlignment="1">
      <alignment horizontal="right" vertical="center"/>
    </xf>
    <xf numFmtId="3" fontId="19" fillId="0" borderId="41" xfId="296" applyNumberFormat="1" applyFont="1" applyBorder="1" applyAlignment="1">
      <alignment horizontal="right" vertical="center"/>
    </xf>
    <xf numFmtId="0" fontId="17" fillId="79" borderId="38" xfId="0" applyFont="1" applyFill="1" applyBorder="1" applyAlignment="1">
      <alignment horizontal="left"/>
    </xf>
    <xf numFmtId="0" fontId="17" fillId="79" borderId="39" xfId="0" applyFont="1" applyFill="1" applyBorder="1" applyAlignment="1">
      <alignment horizontal="left"/>
    </xf>
    <xf numFmtId="0" fontId="20" fillId="81" borderId="40" xfId="296" applyFont="1" applyFill="1" applyBorder="1" applyAlignment="1">
      <alignment horizontal="right"/>
    </xf>
    <xf numFmtId="9" fontId="0" fillId="0" borderId="0" xfId="332" applyFont="1"/>
    <xf numFmtId="0" fontId="107" fillId="0" borderId="0" xfId="0" applyFont="1"/>
    <xf numFmtId="9" fontId="107" fillId="0" borderId="0" xfId="332" applyFont="1"/>
    <xf numFmtId="9" fontId="0" fillId="0" borderId="0" xfId="332" applyFont="1" applyFill="1" applyAlignment="1">
      <alignment vertical="center"/>
    </xf>
    <xf numFmtId="0" fontId="17" fillId="0" borderId="0" xfId="0" applyFont="1" applyAlignment="1">
      <alignment horizontal="left" wrapText="1"/>
    </xf>
    <xf numFmtId="9" fontId="17" fillId="0" borderId="0" xfId="0" applyNumberFormat="1" applyFont="1" applyAlignment="1">
      <alignment horizontal="right" wrapText="1"/>
    </xf>
    <xf numFmtId="0" fontId="75" fillId="0" borderId="40" xfId="303" applyFont="1" applyBorder="1" applyAlignment="1">
      <alignment wrapText="1"/>
    </xf>
    <xf numFmtId="0" fontId="108" fillId="0" borderId="0" xfId="0" applyFont="1"/>
    <xf numFmtId="9" fontId="19" fillId="0" borderId="0" xfId="332" applyFont="1" applyAlignment="1">
      <alignment horizontal="right"/>
    </xf>
    <xf numFmtId="10" fontId="19" fillId="0" borderId="0" xfId="332" applyNumberFormat="1" applyFont="1" applyBorder="1" applyAlignment="1"/>
    <xf numFmtId="3" fontId="19" fillId="79" borderId="38" xfId="296" applyNumberFormat="1" applyFont="1" applyFill="1" applyBorder="1"/>
    <xf numFmtId="3" fontId="19" fillId="79" borderId="43" xfId="296" applyNumberFormat="1" applyFont="1" applyFill="1" applyBorder="1" applyAlignment="1">
      <alignment horizontal="right" vertical="center"/>
    </xf>
    <xf numFmtId="0" fontId="106" fillId="0" borderId="0" xfId="0" applyFont="1" applyAlignment="1">
      <alignment vertical="center"/>
    </xf>
    <xf numFmtId="3" fontId="106" fillId="0" borderId="0" xfId="0" applyNumberFormat="1" applyFont="1" applyAlignment="1">
      <alignment vertical="center"/>
    </xf>
    <xf numFmtId="0" fontId="112" fillId="0" borderId="0" xfId="0" applyFont="1" applyAlignment="1">
      <alignment vertical="center"/>
    </xf>
    <xf numFmtId="0" fontId="19" fillId="0" borderId="53" xfId="296" applyFont="1" applyBorder="1" applyAlignment="1">
      <alignment horizontal="center"/>
    </xf>
    <xf numFmtId="0" fontId="19" fillId="0" borderId="40" xfId="296" applyFont="1" applyBorder="1" applyAlignment="1">
      <alignment horizontal="right"/>
    </xf>
    <xf numFmtId="0" fontId="19" fillId="0" borderId="0" xfId="296" applyFont="1" applyAlignment="1">
      <alignment horizontal="right"/>
    </xf>
    <xf numFmtId="3" fontId="19" fillId="0" borderId="43" xfId="296" applyNumberFormat="1" applyFont="1" applyBorder="1"/>
    <xf numFmtId="0" fontId="17" fillId="79" borderId="43" xfId="0" applyFont="1" applyFill="1" applyBorder="1"/>
    <xf numFmtId="0" fontId="17" fillId="79" borderId="44" xfId="0" applyFont="1" applyFill="1" applyBorder="1"/>
    <xf numFmtId="180" fontId="17" fillId="0" borderId="38" xfId="3207" applyNumberFormat="1" applyFont="1" applyBorder="1"/>
    <xf numFmtId="180" fontId="17" fillId="0" borderId="11" xfId="3207" applyNumberFormat="1" applyFont="1" applyBorder="1"/>
    <xf numFmtId="180" fontId="17" fillId="0" borderId="39" xfId="3207" applyNumberFormat="1" applyFont="1" applyBorder="1"/>
    <xf numFmtId="3" fontId="17" fillId="79" borderId="44" xfId="0" applyNumberFormat="1" applyFont="1" applyFill="1" applyBorder="1"/>
    <xf numFmtId="3" fontId="19" fillId="79" borderId="53" xfId="296" applyNumberFormat="1" applyFont="1" applyFill="1" applyBorder="1"/>
    <xf numFmtId="165" fontId="19" fillId="79" borderId="53" xfId="3207" applyFont="1" applyFill="1" applyBorder="1" applyAlignment="1">
      <alignment vertical="center"/>
    </xf>
    <xf numFmtId="0" fontId="113" fillId="96" borderId="54" xfId="0" applyFont="1" applyFill="1" applyBorder="1" applyAlignment="1">
      <alignment vertical="center" wrapText="1"/>
    </xf>
    <xf numFmtId="0" fontId="115" fillId="0" borderId="0" xfId="3208" applyFont="1" applyAlignment="1">
      <alignment horizontal="center"/>
    </xf>
    <xf numFmtId="0" fontId="114" fillId="0" borderId="0" xfId="3208"/>
    <xf numFmtId="0" fontId="116" fillId="0" borderId="0" xfId="3208" applyFont="1"/>
    <xf numFmtId="0" fontId="117" fillId="0" borderId="0" xfId="3208" applyFont="1"/>
    <xf numFmtId="165" fontId="116" fillId="0" borderId="0" xfId="3209" applyFont="1"/>
    <xf numFmtId="4" fontId="116" fillId="0" borderId="0" xfId="3208" applyNumberFormat="1" applyFont="1"/>
    <xf numFmtId="0" fontId="95" fillId="0" borderId="53" xfId="380" applyFont="1" applyBorder="1" applyAlignment="1">
      <alignment horizontal="center" vertical="top"/>
    </xf>
    <xf numFmtId="0" fontId="81" fillId="0" borderId="0" xfId="380"/>
    <xf numFmtId="0" fontId="95" fillId="0" borderId="0" xfId="380" applyFont="1" applyAlignment="1">
      <alignment horizontal="center" vertical="top"/>
    </xf>
    <xf numFmtId="165" fontId="95" fillId="0" borderId="0" xfId="3210" applyFont="1" applyBorder="1" applyAlignment="1">
      <alignment horizontal="center" vertical="top"/>
    </xf>
    <xf numFmtId="165" fontId="0" fillId="0" borderId="0" xfId="3210" applyFont="1"/>
    <xf numFmtId="165" fontId="118" fillId="0" borderId="0" xfId="3210" applyFont="1"/>
    <xf numFmtId="10" fontId="81" fillId="0" borderId="0" xfId="380" applyNumberFormat="1"/>
    <xf numFmtId="10" fontId="0" fillId="0" borderId="0" xfId="3211" applyNumberFormat="1" applyFont="1"/>
    <xf numFmtId="9" fontId="0" fillId="0" borderId="0" xfId="3211" applyFont="1"/>
    <xf numFmtId="0" fontId="20" fillId="0" borderId="0" xfId="3208" applyFont="1" applyAlignment="1">
      <alignment horizontal="center"/>
    </xf>
    <xf numFmtId="0" fontId="119" fillId="0" borderId="0" xfId="3208" applyFont="1"/>
    <xf numFmtId="165" fontId="119" fillId="0" borderId="0" xfId="3209" applyFont="1"/>
    <xf numFmtId="0" fontId="102" fillId="0" borderId="0" xfId="3208" applyFont="1"/>
    <xf numFmtId="4" fontId="65" fillId="0" borderId="54" xfId="0" applyNumberFormat="1" applyFont="1" applyBorder="1" applyAlignment="1">
      <alignment horizontal="center" vertical="center" wrapText="1"/>
    </xf>
    <xf numFmtId="165" fontId="19" fillId="0" borderId="40" xfId="3207" applyFont="1" applyBorder="1" applyAlignment="1">
      <alignment horizontal="right"/>
    </xf>
    <xf numFmtId="165" fontId="19" fillId="0" borderId="0" xfId="3207" applyFont="1" applyAlignment="1">
      <alignment horizontal="right"/>
    </xf>
    <xf numFmtId="165" fontId="19" fillId="97" borderId="40" xfId="3207" applyFont="1" applyFill="1" applyBorder="1"/>
    <xf numFmtId="165" fontId="19" fillId="0" borderId="0" xfId="3207" applyFont="1"/>
    <xf numFmtId="180" fontId="0" fillId="0" borderId="0" xfId="3207" applyNumberFormat="1" applyFont="1" applyAlignment="1">
      <alignment horizontal="left" indent="2"/>
    </xf>
    <xf numFmtId="180" fontId="0" fillId="0" borderId="0" xfId="3207" applyNumberFormat="1" applyFont="1"/>
    <xf numFmtId="180" fontId="0" fillId="0" borderId="0" xfId="0" applyNumberFormat="1"/>
    <xf numFmtId="9" fontId="0" fillId="0" borderId="0" xfId="0" applyNumberFormat="1"/>
    <xf numFmtId="10" fontId="0" fillId="0" borderId="0" xfId="0" applyNumberFormat="1"/>
    <xf numFmtId="0" fontId="120" fillId="0" borderId="0" xfId="3212"/>
    <xf numFmtId="0" fontId="19" fillId="0" borderId="0" xfId="3208" applyFont="1"/>
    <xf numFmtId="0" fontId="0" fillId="98" borderId="0" xfId="0" applyFill="1"/>
    <xf numFmtId="0" fontId="0" fillId="99" borderId="0" xfId="0" applyFill="1"/>
    <xf numFmtId="0" fontId="0" fillId="100" borderId="0" xfId="0" applyFill="1"/>
    <xf numFmtId="0" fontId="0" fillId="101" borderId="0" xfId="0" applyFill="1"/>
    <xf numFmtId="3" fontId="121" fillId="0" borderId="0" xfId="0" applyNumberFormat="1" applyFont="1" applyAlignment="1">
      <alignment horizontal="right"/>
    </xf>
    <xf numFmtId="3" fontId="126" fillId="0" borderId="40" xfId="296" applyNumberFormat="1" applyFont="1" applyBorder="1"/>
    <xf numFmtId="0" fontId="127" fillId="102" borderId="0" xfId="0" applyFont="1" applyFill="1"/>
    <xf numFmtId="0" fontId="0" fillId="102" borderId="0" xfId="0" applyFill="1"/>
    <xf numFmtId="0" fontId="128" fillId="0" borderId="0" xfId="0" applyFont="1"/>
    <xf numFmtId="0" fontId="129" fillId="98" borderId="0" xfId="0" applyFont="1" applyFill="1"/>
    <xf numFmtId="0" fontId="17" fillId="102" borderId="0" xfId="0" applyFont="1" applyFill="1"/>
    <xf numFmtId="8" fontId="0" fillId="0" borderId="0" xfId="0" applyNumberFormat="1"/>
    <xf numFmtId="0" fontId="129" fillId="103" borderId="0" xfId="0" applyFont="1" applyFill="1"/>
    <xf numFmtId="0" fontId="0" fillId="103" borderId="0" xfId="0" applyFill="1"/>
    <xf numFmtId="0" fontId="17" fillId="104" borderId="0" xfId="0" applyFont="1" applyFill="1"/>
    <xf numFmtId="0" fontId="130" fillId="0" borderId="0" xfId="0" applyFont="1"/>
    <xf numFmtId="0" fontId="130" fillId="102" borderId="0" xfId="0" applyFont="1" applyFill="1"/>
    <xf numFmtId="14" fontId="0" fillId="0" borderId="0" xfId="0" applyNumberFormat="1"/>
    <xf numFmtId="180" fontId="121" fillId="0" borderId="0" xfId="3207" applyNumberFormat="1" applyFont="1" applyAlignment="1">
      <alignment horizontal="right"/>
    </xf>
    <xf numFmtId="14" fontId="129" fillId="98" borderId="0" xfId="0" applyNumberFormat="1" applyFont="1" applyFill="1"/>
    <xf numFmtId="0" fontId="108" fillId="99" borderId="0" xfId="0" applyFont="1" applyFill="1"/>
    <xf numFmtId="0" fontId="108" fillId="100" borderId="0" xfId="0" applyFont="1" applyFill="1"/>
    <xf numFmtId="0" fontId="108" fillId="101" borderId="0" xfId="0" applyFont="1" applyFill="1"/>
    <xf numFmtId="0" fontId="108" fillId="105" borderId="0" xfId="0" applyFont="1" applyFill="1"/>
    <xf numFmtId="0" fontId="0" fillId="105" borderId="0" xfId="0" applyFill="1"/>
    <xf numFmtId="0" fontId="108" fillId="102" borderId="0" xfId="0" applyFont="1" applyFill="1"/>
    <xf numFmtId="187" fontId="129" fillId="98" borderId="0" xfId="0" applyNumberFormat="1" applyFont="1" applyFill="1"/>
    <xf numFmtId="6" fontId="0" fillId="0" borderId="0" xfId="0" applyNumberFormat="1"/>
    <xf numFmtId="3" fontId="122" fillId="0" borderId="0" xfId="0" applyNumberFormat="1" applyFont="1"/>
    <xf numFmtId="0" fontId="132" fillId="106" borderId="0" xfId="0" applyFont="1" applyFill="1"/>
    <xf numFmtId="0" fontId="132" fillId="106" borderId="0" xfId="0" applyFont="1" applyFill="1" applyAlignment="1">
      <alignment horizontal="left"/>
    </xf>
    <xf numFmtId="0" fontId="0" fillId="106" borderId="0" xfId="0" applyFill="1"/>
    <xf numFmtId="0" fontId="134" fillId="0" borderId="0" xfId="0" applyFont="1"/>
    <xf numFmtId="0" fontId="134" fillId="96" borderId="0" xfId="0" applyFont="1" applyFill="1"/>
    <xf numFmtId="0" fontId="135" fillId="0" borderId="0" xfId="0" applyFont="1"/>
    <xf numFmtId="0" fontId="135" fillId="96" borderId="0" xfId="0" applyFont="1" applyFill="1"/>
    <xf numFmtId="0" fontId="137" fillId="99" borderId="0" xfId="0" applyFont="1" applyFill="1"/>
    <xf numFmtId="0" fontId="136" fillId="96" borderId="0" xfId="0" applyFont="1" applyFill="1"/>
    <xf numFmtId="0" fontId="137" fillId="96" borderId="0" xfId="0" applyFont="1" applyFill="1"/>
    <xf numFmtId="0" fontId="133" fillId="96" borderId="0" xfId="0" applyFont="1" applyFill="1"/>
    <xf numFmtId="0" fontId="139" fillId="99" borderId="0" xfId="0" applyFont="1" applyFill="1"/>
    <xf numFmtId="184" fontId="138" fillId="0" borderId="0" xfId="0" applyNumberFormat="1" applyFont="1"/>
    <xf numFmtId="0" fontId="140" fillId="0" borderId="0" xfId="0" applyFont="1"/>
    <xf numFmtId="0" fontId="139" fillId="0" borderId="55" xfId="0" applyFont="1" applyBorder="1"/>
    <xf numFmtId="0" fontId="0" fillId="0" borderId="55" xfId="0" applyBorder="1"/>
    <xf numFmtId="184" fontId="135" fillId="0" borderId="0" xfId="0" applyNumberFormat="1" applyFont="1"/>
    <xf numFmtId="9" fontId="142" fillId="0" borderId="0" xfId="332" applyFont="1"/>
    <xf numFmtId="165" fontId="142" fillId="97" borderId="40" xfId="3207" applyFont="1" applyFill="1" applyBorder="1"/>
    <xf numFmtId="3" fontId="142" fillId="0" borderId="43" xfId="296" applyNumberFormat="1" applyFont="1" applyBorder="1"/>
    <xf numFmtId="165" fontId="141" fillId="0" borderId="0" xfId="3210" applyFont="1"/>
    <xf numFmtId="0" fontId="137" fillId="96" borderId="10" xfId="0" applyFont="1" applyFill="1" applyBorder="1"/>
    <xf numFmtId="0" fontId="0" fillId="0" borderId="11" xfId="0" applyBorder="1"/>
    <xf numFmtId="0" fontId="139" fillId="0" borderId="10" xfId="0" applyFont="1" applyBorder="1"/>
    <xf numFmtId="0" fontId="134" fillId="0" borderId="10" xfId="0" applyFont="1" applyBorder="1"/>
    <xf numFmtId="0" fontId="138" fillId="96" borderId="0" xfId="0" applyFont="1" applyFill="1" applyAlignment="1">
      <alignment horizontal="right"/>
    </xf>
    <xf numFmtId="0" fontId="143" fillId="98" borderId="0" xfId="0" applyFont="1" applyFill="1"/>
    <xf numFmtId="0" fontId="144" fillId="0" borderId="0" xfId="0" applyFont="1"/>
    <xf numFmtId="186" fontId="146" fillId="96" borderId="0" xfId="0" applyNumberFormat="1" applyFont="1" applyFill="1"/>
    <xf numFmtId="184" fontId="136" fillId="96" borderId="0" xfId="0" applyNumberFormat="1" applyFont="1" applyFill="1"/>
    <xf numFmtId="0" fontId="136" fillId="99" borderId="0" xfId="0" applyFont="1" applyFill="1"/>
    <xf numFmtId="0" fontId="137" fillId="99" borderId="0" xfId="0" applyFont="1" applyFill="1" applyAlignment="1">
      <alignment horizontal="center"/>
    </xf>
    <xf numFmtId="0" fontId="136" fillId="99" borderId="0" xfId="0" applyFont="1" applyFill="1" applyAlignment="1">
      <alignment horizontal="center"/>
    </xf>
    <xf numFmtId="0" fontId="136" fillId="96" borderId="10" xfId="0" applyFont="1" applyFill="1" applyBorder="1"/>
    <xf numFmtId="0" fontId="137" fillId="97" borderId="55" xfId="0" applyFont="1" applyFill="1" applyBorder="1"/>
    <xf numFmtId="189" fontId="146" fillId="96" borderId="0" xfId="0" applyNumberFormat="1" applyFont="1" applyFill="1"/>
    <xf numFmtId="190" fontId="136" fillId="96" borderId="0" xfId="0" applyNumberFormat="1" applyFont="1" applyFill="1"/>
    <xf numFmtId="190" fontId="146" fillId="96" borderId="0" xfId="0" applyNumberFormat="1" applyFont="1" applyFill="1"/>
    <xf numFmtId="190" fontId="136" fillId="96" borderId="10" xfId="0" applyNumberFormat="1" applyFont="1" applyFill="1" applyBorder="1"/>
    <xf numFmtId="190" fontId="137" fillId="96" borderId="10" xfId="0" applyNumberFormat="1" applyFont="1" applyFill="1" applyBorder="1"/>
    <xf numFmtId="191" fontId="136" fillId="96" borderId="0" xfId="0" applyNumberFormat="1" applyFont="1" applyFill="1"/>
    <xf numFmtId="190" fontId="137" fillId="97" borderId="55" xfId="0" applyNumberFormat="1" applyFont="1" applyFill="1" applyBorder="1"/>
    <xf numFmtId="192" fontId="136" fillId="96" borderId="0" xfId="0" applyNumberFormat="1" applyFont="1" applyFill="1"/>
    <xf numFmtId="189" fontId="136" fillId="96" borderId="0" xfId="0" applyNumberFormat="1" applyFont="1" applyFill="1"/>
    <xf numFmtId="0" fontId="148" fillId="96" borderId="10" xfId="0" applyFont="1" applyFill="1" applyBorder="1"/>
    <xf numFmtId="0" fontId="148" fillId="97" borderId="55" xfId="0" applyFont="1" applyFill="1" applyBorder="1"/>
    <xf numFmtId="0" fontId="134" fillId="96" borderId="10" xfId="0" applyFont="1" applyFill="1" applyBorder="1"/>
    <xf numFmtId="0" fontId="138" fillId="0" borderId="0" xfId="0" applyFont="1" applyAlignment="1">
      <alignment horizontal="right"/>
    </xf>
    <xf numFmtId="189" fontId="137" fillId="97" borderId="55" xfId="0" applyNumberFormat="1" applyFont="1" applyFill="1" applyBorder="1"/>
    <xf numFmtId="190" fontId="137" fillId="96" borderId="0" xfId="0" applyNumberFormat="1" applyFont="1" applyFill="1"/>
    <xf numFmtId="189" fontId="137" fillId="96" borderId="0" xfId="0" applyNumberFormat="1" applyFont="1" applyFill="1"/>
    <xf numFmtId="0" fontId="148" fillId="96" borderId="0" xfId="0" applyFont="1" applyFill="1"/>
    <xf numFmtId="189" fontId="137" fillId="97" borderId="0" xfId="0" applyNumberFormat="1" applyFont="1" applyFill="1"/>
    <xf numFmtId="0" fontId="134" fillId="97" borderId="0" xfId="0" applyFont="1" applyFill="1"/>
    <xf numFmtId="189" fontId="136" fillId="99" borderId="0" xfId="0" applyNumberFormat="1" applyFont="1" applyFill="1"/>
    <xf numFmtId="190" fontId="136" fillId="99" borderId="0" xfId="0" applyNumberFormat="1" applyFont="1" applyFill="1"/>
    <xf numFmtId="0" fontId="134" fillId="99" borderId="0" xfId="0" applyFont="1" applyFill="1"/>
    <xf numFmtId="193" fontId="137" fillId="97" borderId="0" xfId="0" applyNumberFormat="1" applyFont="1" applyFill="1"/>
    <xf numFmtId="192" fontId="137" fillId="97" borderId="10" xfId="0" applyNumberFormat="1" applyFont="1" applyFill="1" applyBorder="1"/>
    <xf numFmtId="0" fontId="144" fillId="96" borderId="0" xfId="0" applyFont="1" applyFill="1"/>
    <xf numFmtId="0" fontId="149" fillId="102" borderId="0" xfId="0" applyFont="1" applyFill="1"/>
    <xf numFmtId="0" fontId="132" fillId="107" borderId="0" xfId="0" applyFont="1" applyFill="1"/>
    <xf numFmtId="0" fontId="150" fillId="0" borderId="0" xfId="0" applyFont="1"/>
    <xf numFmtId="0" fontId="151" fillId="0" borderId="0" xfId="0" applyFont="1"/>
    <xf numFmtId="0" fontId="151" fillId="99" borderId="0" xfId="0" applyFont="1" applyFill="1"/>
    <xf numFmtId="6" fontId="150" fillId="0" borderId="0" xfId="0" applyNumberFormat="1" applyFont="1"/>
    <xf numFmtId="10" fontId="151" fillId="0" borderId="0" xfId="0" applyNumberFormat="1" applyFont="1"/>
    <xf numFmtId="0" fontId="152" fillId="0" borderId="0" xfId="0" applyFont="1"/>
    <xf numFmtId="9" fontId="152" fillId="0" borderId="0" xfId="0" applyNumberFormat="1" applyFont="1"/>
    <xf numFmtId="187" fontId="150" fillId="0" borderId="0" xfId="0" applyNumberFormat="1" applyFont="1"/>
    <xf numFmtId="3" fontId="136" fillId="96" borderId="0" xfId="0" applyNumberFormat="1" applyFont="1" applyFill="1"/>
    <xf numFmtId="165" fontId="136" fillId="96" borderId="0" xfId="3207" applyFont="1" applyFill="1" applyAlignment="1"/>
    <xf numFmtId="166" fontId="136" fillId="96" borderId="0" xfId="0" applyNumberFormat="1" applyFont="1" applyFill="1"/>
    <xf numFmtId="0" fontId="136" fillId="96" borderId="0" xfId="0" applyFont="1" applyFill="1" applyAlignment="1">
      <alignment indent="2"/>
    </xf>
    <xf numFmtId="0" fontId="136" fillId="96" borderId="0" xfId="380" applyFont="1" applyFill="1" applyAlignment="1">
      <alignment vertical="top"/>
    </xf>
    <xf numFmtId="165" fontId="136" fillId="96" borderId="0" xfId="3210" applyFont="1" applyFill="1" applyAlignment="1"/>
    <xf numFmtId="0" fontId="136" fillId="96" borderId="0" xfId="380" applyFont="1" applyFill="1"/>
    <xf numFmtId="0" fontId="132" fillId="106" borderId="0" xfId="296" applyFont="1" applyFill="1"/>
    <xf numFmtId="0" fontId="153" fillId="106" borderId="0" xfId="0" applyFont="1" applyFill="1"/>
    <xf numFmtId="0" fontId="145" fillId="106" borderId="0" xfId="296" applyFont="1" applyFill="1" applyAlignment="1">
      <alignment horizontal="center"/>
    </xf>
    <xf numFmtId="0" fontId="137" fillId="99" borderId="0" xfId="0" applyFont="1" applyFill="1" applyAlignment="1">
      <alignment horizontal="left"/>
    </xf>
    <xf numFmtId="0" fontId="137" fillId="99" borderId="40" xfId="380" applyFont="1" applyFill="1" applyBorder="1" applyAlignment="1">
      <alignment horizontal="center" vertical="top"/>
    </xf>
    <xf numFmtId="0" fontId="137" fillId="99" borderId="0" xfId="380" applyFont="1" applyFill="1" applyAlignment="1">
      <alignment horizontal="center" vertical="top"/>
    </xf>
    <xf numFmtId="0" fontId="136" fillId="99" borderId="0" xfId="0" applyFont="1" applyFill="1" applyAlignment="1">
      <alignment vertical="center"/>
    </xf>
    <xf numFmtId="3" fontId="136" fillId="99" borderId="0" xfId="0" applyNumberFormat="1" applyFont="1" applyFill="1" applyAlignment="1">
      <alignment vertical="center"/>
    </xf>
    <xf numFmtId="165" fontId="137" fillId="96" borderId="56" xfId="3210" applyFont="1" applyFill="1" applyBorder="1" applyAlignment="1"/>
    <xf numFmtId="0" fontId="136" fillId="97" borderId="0" xfId="380" applyFont="1" applyFill="1"/>
    <xf numFmtId="10" fontId="136" fillId="97" borderId="0" xfId="380" applyNumberFormat="1" applyFont="1" applyFill="1"/>
    <xf numFmtId="10" fontId="136" fillId="97" borderId="0" xfId="3211" applyNumberFormat="1" applyFont="1" applyFill="1" applyAlignment="1"/>
    <xf numFmtId="0" fontId="137" fillId="97" borderId="0" xfId="380" applyFont="1" applyFill="1"/>
    <xf numFmtId="3" fontId="136" fillId="96" borderId="11" xfId="0" applyNumberFormat="1" applyFont="1" applyFill="1" applyBorder="1" applyAlignment="1">
      <alignment horizontal="right"/>
    </xf>
    <xf numFmtId="3" fontId="136" fillId="96" borderId="0" xfId="0" applyNumberFormat="1" applyFont="1" applyFill="1" applyAlignment="1">
      <alignment horizontal="right"/>
    </xf>
    <xf numFmtId="10" fontId="136" fillId="108" borderId="0" xfId="332" applyNumberFormat="1" applyFont="1" applyFill="1" applyBorder="1" applyAlignment="1">
      <alignment horizontal="right"/>
    </xf>
    <xf numFmtId="3" fontId="146" fillId="96" borderId="0" xfId="0" applyNumberFormat="1" applyFont="1" applyFill="1" applyAlignment="1">
      <alignment horizontal="right"/>
    </xf>
    <xf numFmtId="10" fontId="136" fillId="108" borderId="44" xfId="332" applyNumberFormat="1" applyFont="1" applyFill="1" applyBorder="1" applyAlignment="1">
      <alignment horizontal="right"/>
    </xf>
    <xf numFmtId="10" fontId="136" fillId="108" borderId="10" xfId="332" applyNumberFormat="1" applyFont="1" applyFill="1" applyBorder="1" applyAlignment="1">
      <alignment horizontal="right"/>
    </xf>
    <xf numFmtId="165" fontId="137" fillId="96" borderId="56" xfId="3210" applyFont="1" applyFill="1" applyBorder="1" applyAlignment="1">
      <alignment horizontal="right"/>
    </xf>
    <xf numFmtId="3" fontId="136" fillId="96" borderId="44" xfId="0" applyNumberFormat="1" applyFont="1" applyFill="1" applyBorder="1" applyAlignment="1">
      <alignment horizontal="right"/>
    </xf>
    <xf numFmtId="3" fontId="136" fillId="96" borderId="10" xfId="0" applyNumberFormat="1" applyFont="1" applyFill="1" applyBorder="1" applyAlignment="1">
      <alignment horizontal="right"/>
    </xf>
    <xf numFmtId="165" fontId="136" fillId="96" borderId="49" xfId="3207" applyFont="1" applyFill="1" applyBorder="1" applyAlignment="1">
      <alignment vertical="center"/>
    </xf>
    <xf numFmtId="0" fontId="137" fillId="99" borderId="44" xfId="0" applyFont="1" applyFill="1" applyBorder="1" applyAlignment="1">
      <alignment horizontal="center"/>
    </xf>
    <xf numFmtId="0" fontId="137" fillId="99" borderId="43" xfId="0" applyFont="1" applyFill="1" applyBorder="1" applyAlignment="1">
      <alignment horizontal="center"/>
    </xf>
    <xf numFmtId="0" fontId="136" fillId="99" borderId="40" xfId="0" applyFont="1" applyFill="1" applyBorder="1" applyAlignment="1">
      <alignment vertical="center"/>
    </xf>
    <xf numFmtId="0" fontId="137" fillId="99" borderId="45" xfId="0" applyFont="1" applyFill="1" applyBorder="1" applyAlignment="1">
      <alignment horizontal="center"/>
    </xf>
    <xf numFmtId="0" fontId="136" fillId="99" borderId="42" xfId="0" applyFont="1" applyFill="1" applyBorder="1" applyAlignment="1">
      <alignment vertical="center"/>
    </xf>
    <xf numFmtId="183" fontId="136" fillId="96" borderId="10" xfId="0" applyNumberFormat="1" applyFont="1" applyFill="1" applyBorder="1" applyAlignment="1">
      <alignment horizontal="right"/>
    </xf>
    <xf numFmtId="0" fontId="137" fillId="99" borderId="40" xfId="0" applyFont="1" applyFill="1" applyBorder="1"/>
    <xf numFmtId="0" fontId="136" fillId="96" borderId="44" xfId="0" applyFont="1" applyFill="1" applyBorder="1"/>
    <xf numFmtId="0" fontId="136" fillId="96" borderId="0" xfId="0" applyFont="1" applyFill="1" applyAlignment="1">
      <alignment horizontal="right"/>
    </xf>
    <xf numFmtId="0" fontId="136" fillId="108" borderId="0" xfId="0" applyFont="1" applyFill="1"/>
    <xf numFmtId="0" fontId="136" fillId="108" borderId="10" xfId="0" applyFont="1" applyFill="1" applyBorder="1"/>
    <xf numFmtId="0" fontId="136" fillId="108" borderId="10" xfId="0" applyFont="1" applyFill="1" applyBorder="1" applyAlignment="1">
      <alignment horizontal="right"/>
    </xf>
    <xf numFmtId="0" fontId="137" fillId="99" borderId="44" xfId="0" applyFont="1" applyFill="1" applyBorder="1"/>
    <xf numFmtId="0" fontId="137" fillId="108" borderId="0" xfId="0" applyFont="1" applyFill="1"/>
    <xf numFmtId="0" fontId="137" fillId="108" borderId="10" xfId="0" applyFont="1" applyFill="1" applyBorder="1"/>
    <xf numFmtId="0" fontId="137" fillId="97" borderId="10" xfId="0" applyFont="1" applyFill="1" applyBorder="1"/>
    <xf numFmtId="0" fontId="136" fillId="97" borderId="10" xfId="0" applyFont="1" applyFill="1" applyBorder="1"/>
    <xf numFmtId="3" fontId="136" fillId="97" borderId="10" xfId="0" applyNumberFormat="1" applyFont="1" applyFill="1" applyBorder="1" applyAlignment="1">
      <alignment horizontal="right"/>
    </xf>
    <xf numFmtId="0" fontId="137" fillId="108" borderId="44" xfId="0" applyFont="1" applyFill="1" applyBorder="1"/>
    <xf numFmtId="0" fontId="136" fillId="108" borderId="44" xfId="0" applyFont="1" applyFill="1" applyBorder="1"/>
    <xf numFmtId="9" fontId="136" fillId="108" borderId="44" xfId="332" applyFont="1" applyFill="1" applyBorder="1" applyAlignment="1">
      <alignment horizontal="right"/>
    </xf>
    <xf numFmtId="0" fontId="136" fillId="97" borderId="55" xfId="0" applyFont="1" applyFill="1" applyBorder="1"/>
    <xf numFmtId="3" fontId="136" fillId="97" borderId="55" xfId="0" applyNumberFormat="1" applyFont="1" applyFill="1" applyBorder="1" applyAlignment="1">
      <alignment horizontal="right"/>
    </xf>
    <xf numFmtId="181" fontId="146" fillId="96" borderId="0" xfId="332" applyNumberFormat="1" applyFont="1" applyFill="1" applyBorder="1" applyAlignment="1">
      <alignment vertical="center"/>
    </xf>
    <xf numFmtId="181" fontId="146" fillId="96" borderId="42" xfId="332" applyNumberFormat="1" applyFont="1" applyFill="1" applyBorder="1" applyAlignment="1">
      <alignment vertical="center"/>
    </xf>
    <xf numFmtId="165" fontId="146" fillId="96" borderId="0" xfId="3207" applyFont="1" applyFill="1" applyBorder="1" applyAlignment="1">
      <alignment vertical="center"/>
    </xf>
    <xf numFmtId="165" fontId="146" fillId="96" borderId="42" xfId="3207" applyFont="1" applyFill="1" applyBorder="1" applyAlignment="1">
      <alignment vertical="center"/>
    </xf>
    <xf numFmtId="181" fontId="146" fillId="96" borderId="0" xfId="3207" applyNumberFormat="1" applyFont="1" applyFill="1" applyBorder="1" applyAlignment="1">
      <alignment vertical="center"/>
    </xf>
    <xf numFmtId="181" fontId="146" fillId="96" borderId="42" xfId="3207" applyNumberFormat="1" applyFont="1" applyFill="1" applyBorder="1" applyAlignment="1">
      <alignment vertical="center"/>
    </xf>
    <xf numFmtId="165" fontId="136" fillId="96" borderId="0" xfId="3207" applyFont="1" applyFill="1" applyBorder="1" applyAlignment="1">
      <alignment vertical="center"/>
    </xf>
    <xf numFmtId="165" fontId="136" fillId="96" borderId="42" xfId="3207" applyFont="1" applyFill="1" applyBorder="1" applyAlignment="1">
      <alignment vertical="center"/>
    </xf>
    <xf numFmtId="165" fontId="146" fillId="96" borderId="10" xfId="3207" applyFont="1" applyFill="1" applyBorder="1" applyAlignment="1">
      <alignment vertical="center"/>
    </xf>
    <xf numFmtId="165" fontId="146" fillId="96" borderId="46" xfId="3207" applyFont="1" applyFill="1" applyBorder="1" applyAlignment="1">
      <alignment vertical="center"/>
    </xf>
    <xf numFmtId="181" fontId="146" fillId="96" borderId="40" xfId="332" applyNumberFormat="1" applyFont="1" applyFill="1" applyBorder="1" applyAlignment="1">
      <alignment vertical="center"/>
    </xf>
    <xf numFmtId="165" fontId="146" fillId="96" borderId="40" xfId="3207" applyFont="1" applyFill="1" applyBorder="1" applyAlignment="1">
      <alignment vertical="center"/>
    </xf>
    <xf numFmtId="181" fontId="146" fillId="96" borderId="40" xfId="3207" applyNumberFormat="1" applyFont="1" applyFill="1" applyBorder="1" applyAlignment="1">
      <alignment vertical="center"/>
    </xf>
    <xf numFmtId="165" fontId="136" fillId="96" borderId="40" xfId="3207" applyFont="1" applyFill="1" applyBorder="1" applyAlignment="1">
      <alignment vertical="center"/>
    </xf>
    <xf numFmtId="165" fontId="146" fillId="96" borderId="41" xfId="3207" applyFont="1" applyFill="1" applyBorder="1" applyAlignment="1">
      <alignment vertical="center"/>
    </xf>
    <xf numFmtId="0" fontId="154" fillId="96" borderId="0" xfId="303" applyFont="1" applyFill="1"/>
    <xf numFmtId="0" fontId="136" fillId="99" borderId="0" xfId="296" applyFont="1" applyFill="1" applyAlignment="1">
      <alignment horizontal="right"/>
    </xf>
    <xf numFmtId="165" fontId="136" fillId="99" borderId="0" xfId="3207" applyFont="1" applyFill="1" applyBorder="1" applyAlignment="1">
      <alignment horizontal="right"/>
    </xf>
    <xf numFmtId="0" fontId="137" fillId="99" borderId="0" xfId="296" applyFont="1" applyFill="1" applyAlignment="1">
      <alignment horizontal="right"/>
    </xf>
    <xf numFmtId="0" fontId="154" fillId="96" borderId="0" xfId="303" applyFont="1" applyFill="1" applyAlignment="1">
      <alignment horizontal="right"/>
    </xf>
    <xf numFmtId="3" fontId="136" fillId="96" borderId="0" xfId="296" applyNumberFormat="1" applyFont="1" applyFill="1" applyAlignment="1">
      <alignment horizontal="right"/>
    </xf>
    <xf numFmtId="180" fontId="138" fillId="96" borderId="0" xfId="3207" applyNumberFormat="1" applyFont="1" applyFill="1" applyBorder="1" applyAlignment="1">
      <alignment horizontal="right"/>
    </xf>
    <xf numFmtId="165" fontId="136" fillId="97" borderId="0" xfId="3207" applyFont="1" applyFill="1" applyBorder="1" applyAlignment="1">
      <alignment horizontal="right"/>
    </xf>
    <xf numFmtId="165" fontId="136" fillId="96" borderId="0" xfId="0" applyNumberFormat="1" applyFont="1" applyFill="1" applyAlignment="1">
      <alignment horizontal="right"/>
    </xf>
    <xf numFmtId="3" fontId="138" fillId="96" borderId="0" xfId="296" applyNumberFormat="1" applyFont="1" applyFill="1" applyAlignment="1">
      <alignment horizontal="right"/>
    </xf>
    <xf numFmtId="3" fontId="136" fillId="96" borderId="0" xfId="1621" applyNumberFormat="1" applyFont="1" applyFill="1" applyAlignment="1">
      <alignment horizontal="right"/>
    </xf>
    <xf numFmtId="180" fontId="146" fillId="96" borderId="0" xfId="3207" applyNumberFormat="1" applyFont="1" applyFill="1" applyBorder="1" applyAlignment="1">
      <alignment horizontal="right"/>
    </xf>
    <xf numFmtId="3" fontId="136" fillId="96" borderId="10" xfId="296" applyNumberFormat="1" applyFont="1" applyFill="1" applyBorder="1" applyAlignment="1">
      <alignment horizontal="right"/>
    </xf>
    <xf numFmtId="0" fontId="137" fillId="99" borderId="0" xfId="296" applyFont="1" applyFill="1" applyAlignment="1">
      <alignment horizontal="center"/>
    </xf>
    <xf numFmtId="3" fontId="137" fillId="99" borderId="0" xfId="0" applyNumberFormat="1" applyFont="1" applyFill="1"/>
    <xf numFmtId="183" fontId="136" fillId="96" borderId="0" xfId="0" applyNumberFormat="1" applyFont="1" applyFill="1" applyAlignment="1">
      <alignment horizontal="right"/>
    </xf>
    <xf numFmtId="3" fontId="138" fillId="96" borderId="0" xfId="0" applyNumberFormat="1" applyFont="1" applyFill="1" applyAlignment="1">
      <alignment horizontal="right"/>
    </xf>
    <xf numFmtId="182" fontId="136" fillId="96" borderId="0" xfId="0" applyNumberFormat="1" applyFont="1" applyFill="1" applyAlignment="1">
      <alignment horizontal="right"/>
    </xf>
    <xf numFmtId="183" fontId="146" fillId="96" borderId="0" xfId="0" applyNumberFormat="1" applyFont="1" applyFill="1" applyAlignment="1">
      <alignment horizontal="right"/>
    </xf>
    <xf numFmtId="0" fontId="137" fillId="99" borderId="47" xfId="380" applyFont="1" applyFill="1" applyBorder="1" applyAlignment="1">
      <alignment horizontal="center" vertical="top"/>
    </xf>
    <xf numFmtId="0" fontId="137" fillId="99" borderId="43" xfId="380" applyFont="1" applyFill="1" applyBorder="1" applyAlignment="1">
      <alignment horizontal="center" vertical="top"/>
    </xf>
    <xf numFmtId="165" fontId="136" fillId="96" borderId="0" xfId="3210" applyFont="1" applyFill="1" applyBorder="1" applyAlignment="1">
      <alignment horizontal="right"/>
    </xf>
    <xf numFmtId="0" fontId="136" fillId="96" borderId="44" xfId="380" applyFont="1" applyFill="1" applyBorder="1" applyAlignment="1">
      <alignment horizontal="right" vertical="top"/>
    </xf>
    <xf numFmtId="165" fontId="136" fillId="96" borderId="44" xfId="3207" applyFont="1" applyFill="1" applyBorder="1" applyAlignment="1">
      <alignment horizontal="right"/>
    </xf>
    <xf numFmtId="165" fontId="136" fillId="96" borderId="0" xfId="3207" applyFont="1" applyFill="1" applyBorder="1" applyAlignment="1">
      <alignment horizontal="right"/>
    </xf>
    <xf numFmtId="0" fontId="137" fillId="96" borderId="44" xfId="380" applyFont="1" applyFill="1" applyBorder="1" applyAlignment="1">
      <alignment vertical="top"/>
    </xf>
    <xf numFmtId="165" fontId="136" fillId="96" borderId="44" xfId="3207" applyFont="1" applyFill="1" applyBorder="1" applyAlignment="1">
      <alignment horizontal="right" vertical="top"/>
    </xf>
    <xf numFmtId="0" fontId="155" fillId="99" borderId="0" xfId="303" applyFont="1" applyFill="1"/>
    <xf numFmtId="3" fontId="136" fillId="96" borderId="0" xfId="0" applyNumberFormat="1" applyFont="1" applyFill="1" applyAlignment="1">
      <alignment vertical="center"/>
    </xf>
    <xf numFmtId="0" fontId="136" fillId="96" borderId="0" xfId="0" applyFont="1" applyFill="1" applyAlignment="1">
      <alignment vertical="center"/>
    </xf>
    <xf numFmtId="1" fontId="136" fillId="96" borderId="0" xfId="0" applyNumberFormat="1" applyFont="1" applyFill="1" applyAlignment="1">
      <alignment vertical="center"/>
    </xf>
    <xf numFmtId="0" fontId="136" fillId="96" borderId="0" xfId="0" quotePrefix="1" applyFont="1" applyFill="1" applyAlignment="1">
      <alignment vertical="center"/>
    </xf>
    <xf numFmtId="0" fontId="156" fillId="106" borderId="0" xfId="0" applyFont="1" applyFill="1"/>
    <xf numFmtId="3" fontId="156" fillId="106" borderId="0" xfId="0" applyNumberFormat="1" applyFont="1" applyFill="1" applyAlignment="1">
      <alignment vertical="center"/>
    </xf>
    <xf numFmtId="3" fontId="156" fillId="106" borderId="0" xfId="0" quotePrefix="1" applyNumberFormat="1" applyFont="1" applyFill="1" applyAlignment="1">
      <alignment vertical="center"/>
    </xf>
    <xf numFmtId="0" fontId="157" fillId="96" borderId="0" xfId="0" applyFont="1" applyFill="1"/>
    <xf numFmtId="0" fontId="145" fillId="106" borderId="0" xfId="0" applyFont="1" applyFill="1" applyAlignment="1">
      <alignment vertical="center"/>
    </xf>
    <xf numFmtId="1" fontId="156" fillId="106" borderId="0" xfId="0" applyNumberFormat="1" applyFont="1" applyFill="1" applyAlignment="1">
      <alignment vertical="center"/>
    </xf>
    <xf numFmtId="1" fontId="145" fillId="106" borderId="0" xfId="0" applyNumberFormat="1" applyFont="1" applyFill="1" applyAlignment="1">
      <alignment horizontal="center" vertical="center"/>
    </xf>
    <xf numFmtId="3" fontId="136" fillId="99" borderId="0" xfId="0" applyNumberFormat="1" applyFont="1" applyFill="1"/>
    <xf numFmtId="0" fontId="137" fillId="99" borderId="0" xfId="0" applyFont="1" applyFill="1" applyAlignment="1">
      <alignment vertical="center"/>
    </xf>
    <xf numFmtId="0" fontId="147" fillId="99" borderId="0" xfId="0" applyFont="1" applyFill="1"/>
    <xf numFmtId="3" fontId="137" fillId="97" borderId="55" xfId="0" applyNumberFormat="1" applyFont="1" applyFill="1" applyBorder="1"/>
    <xf numFmtId="3" fontId="137" fillId="99" borderId="10" xfId="0" applyNumberFormat="1" applyFont="1" applyFill="1" applyBorder="1" applyAlignment="1">
      <alignment horizontal="right"/>
    </xf>
    <xf numFmtId="0" fontId="137" fillId="99" borderId="0" xfId="0" applyFont="1" applyFill="1" applyAlignment="1">
      <alignment horizontal="right" vertical="center"/>
    </xf>
    <xf numFmtId="3" fontId="137" fillId="97" borderId="55" xfId="0" applyNumberFormat="1" applyFont="1" applyFill="1" applyBorder="1" applyAlignment="1">
      <alignment horizontal="right"/>
    </xf>
    <xf numFmtId="0" fontId="147" fillId="99" borderId="0" xfId="0" applyFont="1" applyFill="1" applyAlignment="1">
      <alignment horizontal="right"/>
    </xf>
    <xf numFmtId="10" fontId="147" fillId="99" borderId="0" xfId="332" applyNumberFormat="1" applyFont="1" applyFill="1" applyBorder="1" applyAlignment="1">
      <alignment horizontal="right"/>
    </xf>
    <xf numFmtId="3" fontId="137" fillId="99" borderId="0" xfId="0" applyNumberFormat="1" applyFont="1" applyFill="1" applyAlignment="1">
      <alignment horizontal="right"/>
    </xf>
    <xf numFmtId="0" fontId="137" fillId="99" borderId="0" xfId="0" applyFont="1" applyFill="1" applyAlignment="1">
      <alignment horizontal="left" vertical="center"/>
    </xf>
    <xf numFmtId="0" fontId="136" fillId="96" borderId="0" xfId="0" applyFont="1" applyFill="1" applyAlignment="1">
      <alignment horizontal="left" vertical="center"/>
    </xf>
    <xf numFmtId="0" fontId="137" fillId="97" borderId="55" xfId="0" applyFont="1" applyFill="1" applyBorder="1" applyAlignment="1">
      <alignment horizontal="left" vertical="center"/>
    </xf>
    <xf numFmtId="0" fontId="136" fillId="99" borderId="0" xfId="0" applyFont="1" applyFill="1" applyAlignment="1">
      <alignment horizontal="left" vertical="center"/>
    </xf>
    <xf numFmtId="0" fontId="134" fillId="99" borderId="0" xfId="0" applyFont="1" applyFill="1" applyAlignment="1">
      <alignment horizontal="left"/>
    </xf>
    <xf numFmtId="0" fontId="136" fillId="96" borderId="0" xfId="0" applyFont="1" applyFill="1" applyAlignment="1">
      <alignment horizontal="left"/>
    </xf>
    <xf numFmtId="9" fontId="138" fillId="97" borderId="0" xfId="0" applyNumberFormat="1" applyFont="1" applyFill="1" applyAlignment="1">
      <alignment horizontal="right"/>
    </xf>
    <xf numFmtId="184" fontId="136" fillId="99" borderId="0" xfId="0" applyNumberFormat="1" applyFont="1" applyFill="1" applyAlignment="1">
      <alignment horizontal="right"/>
    </xf>
    <xf numFmtId="184" fontId="107" fillId="0" borderId="0" xfId="332" applyNumberFormat="1" applyFont="1"/>
    <xf numFmtId="184" fontId="136" fillId="96" borderId="0" xfId="332" applyNumberFormat="1" applyFont="1" applyFill="1" applyBorder="1" applyAlignment="1"/>
    <xf numFmtId="189" fontId="158" fillId="96" borderId="0" xfId="0" applyNumberFormat="1" applyFont="1" applyFill="1"/>
    <xf numFmtId="183" fontId="136" fillId="96" borderId="0" xfId="0" applyNumberFormat="1" applyFont="1" applyFill="1"/>
    <xf numFmtId="0" fontId="137" fillId="99" borderId="0" xfId="0" applyFont="1" applyFill="1" applyAlignment="1">
      <alignment horizontal="left"/>
    </xf>
    <xf numFmtId="0" fontId="20" fillId="81" borderId="38" xfId="296" applyFont="1" applyFill="1" applyBorder="1" applyAlignment="1">
      <alignment horizontal="center"/>
    </xf>
    <xf numFmtId="0" fontId="20" fillId="81" borderId="11" xfId="296" applyFont="1" applyFill="1" applyBorder="1" applyAlignment="1">
      <alignment horizontal="center"/>
    </xf>
    <xf numFmtId="0" fontId="20" fillId="81" borderId="39" xfId="296" applyFont="1" applyFill="1" applyBorder="1" applyAlignment="1">
      <alignment horizontal="center"/>
    </xf>
    <xf numFmtId="0" fontId="20" fillId="81" borderId="0" xfId="296" applyFont="1" applyFill="1" applyAlignment="1">
      <alignment horizontal="right"/>
    </xf>
    <xf numFmtId="0" fontId="20" fillId="33" borderId="14" xfId="296" applyFont="1" applyFill="1" applyBorder="1" applyAlignment="1">
      <alignment horizontal="right"/>
    </xf>
    <xf numFmtId="0" fontId="20" fillId="93" borderId="15" xfId="296" applyFont="1" applyFill="1" applyBorder="1" applyAlignment="1">
      <alignment horizontal="right"/>
    </xf>
    <xf numFmtId="0" fontId="20" fillId="93" borderId="50" xfId="296" applyFont="1" applyFill="1" applyBorder="1" applyAlignment="1">
      <alignment horizontal="right"/>
    </xf>
    <xf numFmtId="0" fontId="20" fillId="81" borderId="38" xfId="296" applyFont="1" applyFill="1" applyBorder="1" applyAlignment="1">
      <alignment horizontal="right"/>
    </xf>
    <xf numFmtId="0" fontId="20" fillId="81" borderId="39" xfId="296" applyFont="1" applyFill="1" applyBorder="1" applyAlignment="1">
      <alignment horizontal="right"/>
    </xf>
    <xf numFmtId="0" fontId="19" fillId="81" borderId="43" xfId="296" applyFont="1" applyFill="1" applyBorder="1" applyAlignment="1">
      <alignment horizontal="right"/>
    </xf>
    <xf numFmtId="0" fontId="19" fillId="81" borderId="44" xfId="296" applyFont="1" applyFill="1" applyBorder="1" applyAlignment="1">
      <alignment horizontal="right"/>
    </xf>
    <xf numFmtId="0" fontId="20" fillId="81" borderId="41" xfId="296" applyFont="1" applyFill="1" applyBorder="1" applyAlignment="1">
      <alignment horizontal="right" wrapText="1"/>
    </xf>
    <xf numFmtId="0" fontId="20" fillId="81" borderId="10" xfId="296" applyFont="1" applyFill="1" applyBorder="1" applyAlignment="1">
      <alignment horizontal="right" wrapText="1"/>
    </xf>
    <xf numFmtId="3" fontId="20" fillId="94" borderId="14" xfId="296" applyNumberFormat="1" applyFont="1" applyFill="1" applyBorder="1" applyAlignment="1">
      <alignment horizontal="right" vertical="center"/>
    </xf>
    <xf numFmtId="0" fontId="20" fillId="94" borderId="14" xfId="296" applyFont="1" applyFill="1" applyBorder="1" applyAlignment="1">
      <alignment horizontal="right" vertical="center"/>
    </xf>
    <xf numFmtId="0" fontId="17" fillId="79" borderId="43" xfId="0" applyFont="1" applyFill="1" applyBorder="1" applyAlignment="1">
      <alignment horizontal="left"/>
    </xf>
    <xf numFmtId="0" fontId="17" fillId="79" borderId="45" xfId="0" applyFont="1" applyFill="1" applyBorder="1" applyAlignment="1">
      <alignment horizontal="left"/>
    </xf>
    <xf numFmtId="0" fontId="17" fillId="79" borderId="41" xfId="0" applyFont="1" applyFill="1" applyBorder="1" applyAlignment="1">
      <alignment horizontal="left"/>
    </xf>
    <xf numFmtId="0" fontId="17" fillId="79" borderId="46" xfId="0" applyFont="1" applyFill="1" applyBorder="1" applyAlignment="1">
      <alignment horizontal="left"/>
    </xf>
    <xf numFmtId="0" fontId="20" fillId="81" borderId="40" xfId="296" applyFont="1" applyFill="1" applyBorder="1" applyAlignment="1">
      <alignment horizontal="center"/>
    </xf>
    <xf numFmtId="0" fontId="20" fillId="81" borderId="0" xfId="296" applyFont="1" applyFill="1" applyAlignment="1">
      <alignment horizontal="center"/>
    </xf>
    <xf numFmtId="0" fontId="17" fillId="79" borderId="38" xfId="0" applyFont="1" applyFill="1" applyBorder="1" applyAlignment="1">
      <alignment horizontal="left"/>
    </xf>
    <xf numFmtId="0" fontId="17" fillId="79" borderId="39" xfId="0" applyFont="1" applyFill="1" applyBorder="1" applyAlignment="1">
      <alignment horizontal="left"/>
    </xf>
    <xf numFmtId="0" fontId="20" fillId="81" borderId="40" xfId="296" applyFont="1" applyFill="1" applyBorder="1" applyAlignment="1">
      <alignment horizontal="right"/>
    </xf>
    <xf numFmtId="0" fontId="19" fillId="92" borderId="40" xfId="296" applyFont="1" applyFill="1" applyBorder="1" applyAlignment="1">
      <alignment horizontal="right"/>
    </xf>
    <xf numFmtId="0" fontId="19" fillId="92" borderId="0" xfId="296" applyFont="1" applyFill="1" applyAlignment="1">
      <alignment horizontal="right"/>
    </xf>
    <xf numFmtId="0" fontId="19" fillId="92" borderId="43" xfId="296" applyFont="1" applyFill="1" applyBorder="1" applyAlignment="1">
      <alignment horizontal="right"/>
    </xf>
    <xf numFmtId="0" fontId="19" fillId="92" borderId="44" xfId="296" applyFont="1" applyFill="1" applyBorder="1" applyAlignment="1">
      <alignment horizontal="right"/>
    </xf>
    <xf numFmtId="0" fontId="19" fillId="92" borderId="41" xfId="296" applyFont="1" applyFill="1" applyBorder="1" applyAlignment="1">
      <alignment horizontal="right"/>
    </xf>
    <xf numFmtId="0" fontId="19" fillId="92" borderId="10" xfId="296" applyFont="1" applyFill="1" applyBorder="1" applyAlignment="1">
      <alignment horizontal="right"/>
    </xf>
    <xf numFmtId="0" fontId="17" fillId="79" borderId="44" xfId="0" applyFont="1" applyFill="1" applyBorder="1" applyAlignment="1">
      <alignment horizontal="left"/>
    </xf>
    <xf numFmtId="0" fontId="1" fillId="0" borderId="0" xfId="0" applyFont="1"/>
    <xf numFmtId="0" fontId="139" fillId="0" borderId="0" xfId="0" applyFont="1"/>
    <xf numFmtId="0" fontId="69" fillId="0" borderId="0" xfId="0" applyFont="1"/>
    <xf numFmtId="0" fontId="135" fillId="99" borderId="0" xfId="0" applyFont="1" applyFill="1"/>
    <xf numFmtId="190" fontId="136" fillId="96" borderId="0" xfId="0" applyNumberFormat="1" applyFont="1" applyFill="1" applyBorder="1"/>
    <xf numFmtId="190" fontId="161" fillId="96" borderId="0" xfId="0" applyNumberFormat="1" applyFont="1" applyFill="1"/>
    <xf numFmtId="0" fontId="95" fillId="0" borderId="0" xfId="0" applyFont="1"/>
    <xf numFmtId="0" fontId="0" fillId="106" borderId="0" xfId="0" applyFill="1" applyAlignment="1">
      <alignment horizontal="right"/>
    </xf>
    <xf numFmtId="0" fontId="0" fillId="0" borderId="0" xfId="0" applyAlignment="1">
      <alignment horizontal="right"/>
    </xf>
    <xf numFmtId="0" fontId="139" fillId="99" borderId="0" xfId="0" applyFont="1" applyFill="1" applyAlignment="1">
      <alignment horizontal="right"/>
    </xf>
    <xf numFmtId="1" fontId="138" fillId="96" borderId="0" xfId="0" applyNumberFormat="1" applyFont="1" applyFill="1" applyAlignment="1">
      <alignment horizontal="right"/>
    </xf>
    <xf numFmtId="2" fontId="138" fillId="96" borderId="0" xfId="0" applyNumberFormat="1" applyFont="1" applyFill="1" applyAlignment="1">
      <alignment horizontal="right"/>
    </xf>
    <xf numFmtId="0" fontId="135" fillId="0" borderId="0" xfId="0" applyFont="1" applyAlignment="1">
      <alignment horizontal="right"/>
    </xf>
    <xf numFmtId="188" fontId="138" fillId="96" borderId="0" xfId="0" applyNumberFormat="1" applyFont="1" applyFill="1" applyAlignment="1">
      <alignment horizontal="right"/>
    </xf>
    <xf numFmtId="184" fontId="138" fillId="96" borderId="0" xfId="0" applyNumberFormat="1" applyFont="1" applyFill="1" applyAlignment="1">
      <alignment horizontal="right"/>
    </xf>
    <xf numFmtId="3" fontId="136" fillId="0" borderId="0" xfId="0" applyNumberFormat="1" applyFont="1" applyAlignment="1">
      <alignment horizontal="right"/>
    </xf>
    <xf numFmtId="3" fontId="137" fillId="0" borderId="0" xfId="0" applyNumberFormat="1" applyFont="1" applyAlignment="1">
      <alignment horizontal="right"/>
    </xf>
    <xf numFmtId="0" fontId="0" fillId="0" borderId="11" xfId="0" applyBorder="1" applyAlignment="1">
      <alignment horizontal="right"/>
    </xf>
    <xf numFmtId="2" fontId="138" fillId="0" borderId="0" xfId="0" applyNumberFormat="1" applyFont="1" applyAlignment="1">
      <alignment horizontal="right"/>
    </xf>
    <xf numFmtId="184" fontId="138" fillId="0" borderId="0" xfId="0" applyNumberFormat="1" applyFont="1" applyAlignment="1">
      <alignment horizontal="right"/>
    </xf>
    <xf numFmtId="3" fontId="138" fillId="0" borderId="0" xfId="0" applyNumberFormat="1" applyFont="1" applyAlignment="1">
      <alignment horizontal="right"/>
    </xf>
    <xf numFmtId="179" fontId="135" fillId="0" borderId="0" xfId="0" applyNumberFormat="1" applyFont="1" applyAlignment="1">
      <alignment horizontal="right"/>
    </xf>
    <xf numFmtId="179" fontId="139" fillId="0" borderId="10" xfId="0" applyNumberFormat="1" applyFont="1" applyBorder="1" applyAlignment="1">
      <alignment horizontal="right"/>
    </xf>
    <xf numFmtId="3" fontId="135" fillId="0" borderId="0" xfId="0" applyNumberFormat="1" applyFont="1" applyAlignment="1">
      <alignment horizontal="right"/>
    </xf>
    <xf numFmtId="3" fontId="159" fillId="0" borderId="0" xfId="0" applyNumberFormat="1" applyFont="1" applyAlignment="1">
      <alignment horizontal="right"/>
    </xf>
    <xf numFmtId="3" fontId="138" fillId="99" borderId="0" xfId="0" applyNumberFormat="1" applyFont="1" applyFill="1" applyAlignment="1">
      <alignment horizontal="right"/>
    </xf>
    <xf numFmtId="1" fontId="138" fillId="0" borderId="0" xfId="0" applyNumberFormat="1" applyFont="1" applyAlignment="1">
      <alignment horizontal="right"/>
    </xf>
    <xf numFmtId="1" fontId="160" fillId="0" borderId="0" xfId="0" applyNumberFormat="1" applyFont="1" applyAlignment="1">
      <alignment horizontal="right"/>
    </xf>
    <xf numFmtId="3" fontId="139" fillId="0" borderId="55" xfId="0" applyNumberFormat="1" applyFont="1" applyBorder="1" applyAlignment="1">
      <alignment horizontal="right"/>
    </xf>
    <xf numFmtId="184" fontId="135" fillId="0" borderId="0" xfId="0" applyNumberFormat="1" applyFont="1" applyAlignment="1">
      <alignment horizontal="right"/>
    </xf>
    <xf numFmtId="186" fontId="138" fillId="0" borderId="0" xfId="0" applyNumberFormat="1" applyFont="1" applyAlignment="1">
      <alignment horizontal="right"/>
    </xf>
    <xf numFmtId="0" fontId="140" fillId="0" borderId="10" xfId="0" applyFont="1" applyBorder="1"/>
    <xf numFmtId="0" fontId="0" fillId="0" borderId="10" xfId="0" applyBorder="1" applyAlignment="1">
      <alignment horizontal="right"/>
    </xf>
    <xf numFmtId="3" fontId="146" fillId="0" borderId="0" xfId="0" applyNumberFormat="1" applyFont="1" applyAlignment="1">
      <alignment horizontal="right"/>
    </xf>
    <xf numFmtId="180" fontId="163" fillId="99" borderId="0" xfId="0" applyNumberFormat="1" applyFont="1" applyFill="1" applyAlignment="1">
      <alignment horizontal="right"/>
    </xf>
    <xf numFmtId="43" fontId="136" fillId="96" borderId="0" xfId="380" applyNumberFormat="1" applyFont="1" applyFill="1"/>
    <xf numFmtId="10" fontId="136" fillId="96" borderId="0" xfId="380" applyNumberFormat="1" applyFont="1" applyFill="1"/>
    <xf numFmtId="0" fontId="17" fillId="0" borderId="0" xfId="0" applyFont="1" applyAlignment="1">
      <alignment horizontal="right"/>
    </xf>
    <xf numFmtId="0" fontId="164" fillId="0" borderId="0" xfId="0" applyFont="1"/>
    <xf numFmtId="0" fontId="146" fillId="0" borderId="0" xfId="0" applyFont="1"/>
    <xf numFmtId="3" fontId="161" fillId="0" borderId="0" xfId="0" applyNumberFormat="1" applyFont="1" applyAlignment="1">
      <alignment horizontal="right"/>
    </xf>
    <xf numFmtId="0" fontId="134" fillId="0" borderId="0" xfId="0" applyFont="1" applyAlignment="1">
      <alignment vertical="center"/>
    </xf>
    <xf numFmtId="0" fontId="135" fillId="0" borderId="0" xfId="0" applyFont="1" applyAlignment="1">
      <alignment vertical="center"/>
    </xf>
    <xf numFmtId="0" fontId="139" fillId="0" borderId="0" xfId="0" applyFont="1" applyAlignment="1">
      <alignment vertical="center"/>
    </xf>
    <xf numFmtId="1" fontId="139" fillId="0" borderId="0" xfId="0" applyNumberFormat="1" applyFont="1" applyAlignment="1">
      <alignment horizontal="right" vertical="center"/>
    </xf>
    <xf numFmtId="3" fontId="136" fillId="0" borderId="0" xfId="0" applyNumberFormat="1" applyFont="1" applyAlignment="1">
      <alignment horizontal="right" vertical="center"/>
    </xf>
    <xf numFmtId="3" fontId="137" fillId="0" borderId="0" xfId="0" applyNumberFormat="1" applyFont="1" applyAlignment="1">
      <alignment horizontal="right" vertical="center"/>
    </xf>
    <xf numFmtId="3" fontId="137" fillId="0" borderId="44" xfId="0" applyNumberFormat="1" applyFont="1" applyBorder="1" applyAlignment="1">
      <alignment horizontal="right" vertical="center"/>
    </xf>
    <xf numFmtId="3" fontId="160" fillId="97" borderId="0" xfId="0" applyNumberFormat="1" applyFont="1" applyFill="1" applyAlignment="1">
      <alignment horizontal="right" vertical="center"/>
    </xf>
    <xf numFmtId="0" fontId="165" fillId="0" borderId="0" xfId="0" applyFont="1"/>
    <xf numFmtId="0" fontId="166" fillId="0" borderId="0" xfId="0" applyFont="1"/>
    <xf numFmtId="0" fontId="95" fillId="0" borderId="0" xfId="0" applyFont="1" applyAlignment="1">
      <alignment horizontal="right"/>
    </xf>
    <xf numFmtId="9" fontId="0" fillId="0" borderId="0" xfId="0" applyNumberFormat="1" applyAlignment="1">
      <alignment horizontal="right"/>
    </xf>
    <xf numFmtId="10" fontId="0" fillId="0" borderId="0" xfId="0" applyNumberFormat="1" applyAlignment="1">
      <alignment horizontal="right"/>
    </xf>
    <xf numFmtId="9" fontId="17" fillId="0" borderId="0" xfId="0" applyNumberFormat="1" applyFont="1" applyAlignment="1">
      <alignment horizontal="right"/>
    </xf>
    <xf numFmtId="9" fontId="15" fillId="0" borderId="0" xfId="0" applyNumberFormat="1" applyFont="1" applyAlignment="1">
      <alignment horizontal="right"/>
    </xf>
    <xf numFmtId="0" fontId="15" fillId="0" borderId="0" xfId="0" applyFont="1" applyAlignment="1">
      <alignment horizontal="right"/>
    </xf>
    <xf numFmtId="0" fontId="137" fillId="99" borderId="0" xfId="0" applyFont="1" applyFill="1" applyAlignment="1">
      <alignment horizontal="right"/>
    </xf>
    <xf numFmtId="0" fontId="167" fillId="96" borderId="0" xfId="0" applyFont="1" applyFill="1"/>
    <xf numFmtId="0" fontId="168" fillId="96" borderId="0" xfId="0" applyFont="1" applyFill="1"/>
    <xf numFmtId="0" fontId="162" fillId="102" borderId="0" xfId="0" applyFont="1" applyFill="1"/>
    <xf numFmtId="0" fontId="137" fillId="96" borderId="11" xfId="0" applyFont="1" applyFill="1" applyBorder="1"/>
    <xf numFmtId="190" fontId="137" fillId="96" borderId="11" xfId="0" applyNumberFormat="1" applyFont="1" applyFill="1" applyBorder="1"/>
    <xf numFmtId="0" fontId="136" fillId="96" borderId="0" xfId="0" applyFont="1" applyFill="1" applyBorder="1"/>
    <xf numFmtId="190" fontId="146" fillId="96" borderId="0" xfId="0" applyNumberFormat="1" applyFont="1" applyFill="1" applyBorder="1"/>
    <xf numFmtId="0" fontId="134" fillId="96" borderId="0" xfId="0" applyFont="1" applyFill="1" applyBorder="1"/>
    <xf numFmtId="190" fontId="136" fillId="96" borderId="0" xfId="0" applyNumberFormat="1" applyFont="1" applyFill="1" applyAlignment="1">
      <alignment horizontal="right"/>
    </xf>
    <xf numFmtId="0" fontId="136" fillId="96" borderId="0" xfId="0" applyFont="1" applyFill="1" applyBorder="1" applyAlignment="1">
      <alignment vertical="center"/>
    </xf>
    <xf numFmtId="3" fontId="136" fillId="96" borderId="0" xfId="0" applyNumberFormat="1" applyFont="1" applyFill="1" applyBorder="1" applyAlignment="1">
      <alignment vertical="center"/>
    </xf>
    <xf numFmtId="0" fontId="136" fillId="96" borderId="0" xfId="0" applyFont="1" applyFill="1" applyBorder="1" applyAlignment="1">
      <alignment horizontal="right" vertical="center"/>
    </xf>
    <xf numFmtId="0" fontId="136" fillId="96" borderId="0" xfId="0" applyFont="1" applyFill="1" applyBorder="1" applyAlignment="1">
      <alignment horizontal="center" vertical="center"/>
    </xf>
    <xf numFmtId="0" fontId="136" fillId="96" borderId="0" xfId="0" quotePrefix="1" applyFont="1" applyFill="1" applyBorder="1" applyAlignment="1">
      <alignment horizontal="right" vertical="center"/>
    </xf>
    <xf numFmtId="0" fontId="136" fillId="96" borderId="0" xfId="0" applyFont="1" applyFill="1" applyBorder="1" applyAlignment="1">
      <alignment horizontal="left" vertical="center"/>
    </xf>
    <xf numFmtId="0" fontId="136" fillId="96" borderId="0" xfId="0" quotePrefix="1" applyFont="1" applyFill="1" applyBorder="1" applyAlignment="1">
      <alignment horizontal="center" vertical="center"/>
    </xf>
    <xf numFmtId="0" fontId="136" fillId="96" borderId="0" xfId="0" quotePrefix="1" applyFont="1" applyFill="1" applyBorder="1" applyAlignment="1">
      <alignment vertical="center"/>
    </xf>
    <xf numFmtId="0" fontId="170" fillId="106" borderId="0" xfId="0" applyFont="1" applyFill="1" applyBorder="1" applyAlignment="1">
      <alignment vertical="center"/>
    </xf>
    <xf numFmtId="0" fontId="132" fillId="106" borderId="0" xfId="0" applyFont="1" applyFill="1" applyBorder="1" applyAlignment="1">
      <alignment vertical="center"/>
    </xf>
    <xf numFmtId="3" fontId="170" fillId="106" borderId="0" xfId="0" applyNumberFormat="1" applyFont="1" applyFill="1" applyBorder="1" applyAlignment="1">
      <alignment vertical="center"/>
    </xf>
    <xf numFmtId="3" fontId="170" fillId="106" borderId="0" xfId="0" quotePrefix="1" applyNumberFormat="1" applyFont="1" applyFill="1" applyBorder="1" applyAlignment="1">
      <alignment vertical="center"/>
    </xf>
    <xf numFmtId="3" fontId="171" fillId="106" borderId="0" xfId="0" applyNumberFormat="1" applyFont="1" applyFill="1" applyBorder="1" applyAlignment="1">
      <alignment vertical="center"/>
    </xf>
    <xf numFmtId="3" fontId="134" fillId="96" borderId="0" xfId="0" applyNumberFormat="1" applyFont="1" applyFill="1" applyBorder="1" applyAlignment="1">
      <alignment vertical="center"/>
    </xf>
    <xf numFmtId="0" fontId="136" fillId="99" borderId="0" xfId="0" applyFont="1" applyFill="1" applyBorder="1" applyAlignment="1">
      <alignment vertical="center"/>
    </xf>
    <xf numFmtId="0" fontId="137" fillId="99" borderId="0" xfId="0" applyFont="1" applyFill="1" applyBorder="1" applyAlignment="1">
      <alignment vertical="center"/>
    </xf>
    <xf numFmtId="167" fontId="137" fillId="99" borderId="0" xfId="0" applyNumberFormat="1" applyFont="1" applyFill="1" applyBorder="1" applyAlignment="1">
      <alignment horizontal="center" vertical="center"/>
    </xf>
    <xf numFmtId="1" fontId="137" fillId="99" borderId="0" xfId="0" applyNumberFormat="1" applyFont="1" applyFill="1" applyBorder="1" applyAlignment="1">
      <alignment horizontal="center" vertical="center"/>
    </xf>
    <xf numFmtId="0" fontId="137" fillId="99" borderId="10" xfId="0" applyFont="1" applyFill="1" applyBorder="1" applyAlignment="1">
      <alignment vertical="center"/>
    </xf>
    <xf numFmtId="1" fontId="137" fillId="99" borderId="10" xfId="0" applyNumberFormat="1" applyFont="1" applyFill="1" applyBorder="1" applyAlignment="1">
      <alignment horizontal="center" vertical="center"/>
    </xf>
    <xf numFmtId="0" fontId="136" fillId="99" borderId="0" xfId="0" applyFont="1" applyFill="1" applyBorder="1" applyAlignment="1">
      <alignment horizontal="left" vertical="center"/>
    </xf>
    <xf numFmtId="0" fontId="137" fillId="99" borderId="0" xfId="0" quotePrefix="1" applyFont="1" applyFill="1" applyBorder="1" applyAlignment="1">
      <alignment horizontal="left" vertical="center"/>
    </xf>
    <xf numFmtId="0" fontId="136" fillId="99" borderId="0" xfId="0" applyFont="1" applyFill="1" applyBorder="1" applyAlignment="1">
      <alignment horizontal="center" vertical="center"/>
    </xf>
    <xf numFmtId="0" fontId="137" fillId="96" borderId="0" xfId="0" applyFont="1" applyFill="1" applyBorder="1" applyAlignment="1">
      <alignment horizontal="center" vertical="center"/>
    </xf>
    <xf numFmtId="0" fontId="137" fillId="96" borderId="0" xfId="0" applyFont="1" applyFill="1" applyBorder="1" applyAlignment="1">
      <alignment vertical="center"/>
    </xf>
    <xf numFmtId="0" fontId="147" fillId="96" borderId="0" xfId="0" applyFont="1" applyFill="1" applyBorder="1" applyAlignment="1">
      <alignment vertical="center"/>
    </xf>
    <xf numFmtId="0" fontId="137" fillId="97" borderId="44" xfId="0" applyFont="1" applyFill="1" applyBorder="1" applyAlignment="1">
      <alignment vertical="center"/>
    </xf>
    <xf numFmtId="0" fontId="137" fillId="97" borderId="56" xfId="0" applyFont="1" applyFill="1" applyBorder="1" applyAlignment="1">
      <alignment horizontal="left" vertical="center"/>
    </xf>
    <xf numFmtId="0" fontId="137" fillId="97" borderId="56" xfId="0" applyFont="1" applyFill="1" applyBorder="1" applyAlignment="1">
      <alignment vertical="center"/>
    </xf>
    <xf numFmtId="0" fontId="169" fillId="0" borderId="0" xfId="0" applyFont="1"/>
    <xf numFmtId="190" fontId="146" fillId="0" borderId="0" xfId="0" applyNumberFormat="1" applyFont="1"/>
    <xf numFmtId="195" fontId="138" fillId="0" borderId="0" xfId="0" applyNumberFormat="1" applyFont="1"/>
    <xf numFmtId="193" fontId="161" fillId="0" borderId="0" xfId="0" applyNumberFormat="1" applyFont="1"/>
    <xf numFmtId="194" fontId="161" fillId="0" borderId="0" xfId="0" applyNumberFormat="1" applyFont="1"/>
    <xf numFmtId="184" fontId="163" fillId="0" borderId="0" xfId="0" applyNumberFormat="1" applyFont="1"/>
    <xf numFmtId="0" fontId="135" fillId="0" borderId="10" xfId="0" applyFont="1" applyBorder="1"/>
    <xf numFmtId="190" fontId="139" fillId="0" borderId="10" xfId="0" applyNumberFormat="1" applyFont="1" applyBorder="1"/>
    <xf numFmtId="0" fontId="169" fillId="0" borderId="10" xfId="0" applyFont="1" applyBorder="1"/>
    <xf numFmtId="0" fontId="135" fillId="0" borderId="44" xfId="0" applyFont="1" applyBorder="1"/>
    <xf numFmtId="190" fontId="161" fillId="0" borderId="44" xfId="0" applyNumberFormat="1" applyFont="1" applyBorder="1"/>
    <xf numFmtId="0" fontId="169" fillId="0" borderId="44" xfId="0" applyFont="1" applyBorder="1"/>
    <xf numFmtId="0" fontId="135" fillId="0" borderId="56" xfId="0" applyFont="1" applyBorder="1"/>
    <xf numFmtId="0" fontId="169" fillId="0" borderId="56" xfId="0" applyFont="1" applyBorder="1"/>
    <xf numFmtId="0" fontId="139" fillId="0" borderId="11" xfId="0" applyFont="1" applyBorder="1"/>
    <xf numFmtId="0" fontId="135" fillId="0" borderId="11" xfId="0" applyFont="1" applyBorder="1"/>
    <xf numFmtId="190" fontId="161" fillId="0" borderId="11" xfId="0" applyNumberFormat="1" applyFont="1" applyBorder="1"/>
    <xf numFmtId="190" fontId="146" fillId="0" borderId="10" xfId="0" applyNumberFormat="1" applyFont="1" applyBorder="1"/>
    <xf numFmtId="0" fontId="139" fillId="0" borderId="56" xfId="0" applyFont="1" applyBorder="1"/>
    <xf numFmtId="190" fontId="161" fillId="0" borderId="56" xfId="0" applyNumberFormat="1" applyFont="1" applyBorder="1"/>
    <xf numFmtId="0" fontId="173" fillId="0" borderId="0" xfId="0" applyFont="1"/>
    <xf numFmtId="184" fontId="140" fillId="0" borderId="0" xfId="0" applyNumberFormat="1" applyFont="1"/>
    <xf numFmtId="0" fontId="174" fillId="0" borderId="0" xfId="0" applyFont="1"/>
    <xf numFmtId="184" fontId="161" fillId="0" borderId="0" xfId="0" applyNumberFormat="1" applyFont="1" applyFill="1"/>
    <xf numFmtId="184" fontId="161" fillId="0" borderId="10" xfId="0" applyNumberFormat="1" applyFont="1" applyFill="1" applyBorder="1"/>
    <xf numFmtId="194" fontId="161" fillId="0" borderId="0" xfId="0" applyNumberFormat="1" applyFont="1" applyFill="1"/>
    <xf numFmtId="194" fontId="161" fillId="0" borderId="10" xfId="0" applyNumberFormat="1" applyFont="1" applyFill="1" applyBorder="1"/>
    <xf numFmtId="184" fontId="146" fillId="0" borderId="0" xfId="0" applyNumberFormat="1" applyFont="1" applyFill="1"/>
    <xf numFmtId="194" fontId="146" fillId="0" borderId="0" xfId="0" applyNumberFormat="1" applyFont="1" applyFill="1"/>
    <xf numFmtId="190" fontId="161" fillId="0" borderId="56" xfId="0" applyNumberFormat="1" applyFont="1" applyFill="1" applyBorder="1"/>
    <xf numFmtId="0" fontId="137" fillId="99" borderId="10" xfId="0" applyFont="1" applyFill="1" applyBorder="1"/>
    <xf numFmtId="0" fontId="137" fillId="99" borderId="10" xfId="0" applyFont="1" applyFill="1" applyBorder="1" applyAlignment="1">
      <alignment horizontal="center"/>
    </xf>
    <xf numFmtId="0" fontId="137" fillId="99" borderId="10" xfId="0" applyFont="1" applyFill="1" applyBorder="1" applyAlignment="1">
      <alignment horizontal="right"/>
    </xf>
    <xf numFmtId="0" fontId="172" fillId="0" borderId="0" xfId="0" applyFont="1" applyAlignment="1">
      <alignment horizontal="center"/>
    </xf>
    <xf numFmtId="190" fontId="163" fillId="0" borderId="0" xfId="0" applyNumberFormat="1" applyFont="1"/>
    <xf numFmtId="190" fontId="135" fillId="0" borderId="0" xfId="0" applyNumberFormat="1" applyFont="1"/>
    <xf numFmtId="190" fontId="139" fillId="0" borderId="56" xfId="0" applyNumberFormat="1" applyFont="1" applyBorder="1"/>
    <xf numFmtId="0" fontId="137" fillId="96" borderId="0" xfId="0" applyFont="1" applyFill="1" applyBorder="1" applyAlignment="1">
      <alignment horizontal="left" vertical="center"/>
    </xf>
    <xf numFmtId="0" fontId="137" fillId="99" borderId="44" xfId="0" applyFont="1" applyFill="1" applyBorder="1" applyAlignment="1">
      <alignment vertical="center"/>
    </xf>
    <xf numFmtId="0" fontId="137" fillId="96" borderId="44" xfId="0" applyFont="1" applyFill="1" applyBorder="1" applyAlignment="1">
      <alignment vertical="center"/>
    </xf>
    <xf numFmtId="0" fontId="169" fillId="96" borderId="0" xfId="0" applyFont="1" applyFill="1" applyBorder="1" applyAlignment="1">
      <alignment vertical="center"/>
    </xf>
    <xf numFmtId="190" fontId="137" fillId="99" borderId="10" xfId="0" applyNumberFormat="1" applyFont="1" applyFill="1" applyBorder="1" applyAlignment="1">
      <alignment vertical="center"/>
    </xf>
    <xf numFmtId="190" fontId="137" fillId="96" borderId="0" xfId="0" applyNumberFormat="1" applyFont="1" applyFill="1" applyBorder="1" applyAlignment="1">
      <alignment vertical="center"/>
    </xf>
    <xf numFmtId="190" fontId="136" fillId="96" borderId="0" xfId="0" applyNumberFormat="1" applyFont="1" applyFill="1" applyBorder="1" applyAlignment="1">
      <alignment vertical="center"/>
    </xf>
    <xf numFmtId="190" fontId="175" fillId="96" borderId="0" xfId="0" applyNumberFormat="1" applyFont="1" applyFill="1" applyBorder="1" applyAlignment="1">
      <alignment vertical="center"/>
    </xf>
    <xf numFmtId="190" fontId="146" fillId="96" borderId="0" xfId="0" applyNumberFormat="1" applyFont="1" applyFill="1" applyBorder="1" applyAlignment="1">
      <alignment vertical="center"/>
    </xf>
    <xf numFmtId="190" fontId="137" fillId="99" borderId="0" xfId="0" applyNumberFormat="1" applyFont="1" applyFill="1" applyBorder="1" applyAlignment="1">
      <alignment vertical="center"/>
    </xf>
    <xf numFmtId="190" fontId="137" fillId="97" borderId="56" xfId="0" applyNumberFormat="1" applyFont="1" applyFill="1" applyBorder="1" applyAlignment="1">
      <alignment vertical="center"/>
    </xf>
    <xf numFmtId="190" fontId="137" fillId="99" borderId="10" xfId="0" applyNumberFormat="1" applyFont="1" applyFill="1" applyBorder="1" applyAlignment="1">
      <alignment horizontal="center" vertical="center"/>
    </xf>
    <xf numFmtId="190" fontId="161" fillId="96" borderId="44" xfId="0" applyNumberFormat="1" applyFont="1" applyFill="1" applyBorder="1" applyAlignment="1">
      <alignment vertical="center"/>
    </xf>
    <xf numFmtId="190" fontId="169" fillId="96" borderId="0" xfId="0" applyNumberFormat="1" applyFont="1" applyFill="1" applyBorder="1" applyAlignment="1">
      <alignment vertical="center"/>
    </xf>
    <xf numFmtId="190" fontId="136" fillId="99" borderId="0" xfId="0" applyNumberFormat="1" applyFont="1" applyFill="1" applyBorder="1" applyAlignment="1">
      <alignment vertical="center"/>
    </xf>
    <xf numFmtId="0" fontId="169" fillId="96" borderId="0" xfId="0" applyFont="1" applyFill="1" applyBorder="1" applyAlignment="1">
      <alignment horizontal="center" vertical="center"/>
    </xf>
    <xf numFmtId="9" fontId="176" fillId="96" borderId="0" xfId="0" applyNumberFormat="1" applyFont="1" applyFill="1" applyBorder="1" applyAlignment="1">
      <alignment vertical="center"/>
    </xf>
    <xf numFmtId="184" fontId="147" fillId="96" borderId="0" xfId="332" applyNumberFormat="1" applyFont="1" applyFill="1" applyBorder="1" applyAlignment="1">
      <alignment vertical="center"/>
    </xf>
    <xf numFmtId="190" fontId="146" fillId="96" borderId="0" xfId="3207" applyNumberFormat="1" applyFont="1" applyFill="1" applyBorder="1" applyAlignment="1">
      <alignment vertical="center"/>
    </xf>
    <xf numFmtId="190" fontId="163" fillId="96" borderId="0" xfId="0" applyNumberFormat="1" applyFont="1" applyFill="1" applyBorder="1" applyAlignment="1">
      <alignment vertical="center"/>
    </xf>
    <xf numFmtId="0" fontId="137" fillId="96" borderId="0" xfId="0" quotePrefix="1" applyFont="1" applyFill="1" applyBorder="1" applyAlignment="1">
      <alignment horizontal="left" vertical="center"/>
    </xf>
    <xf numFmtId="190" fontId="137" fillId="99" borderId="44" xfId="0" applyNumberFormat="1" applyFont="1" applyFill="1" applyBorder="1" applyAlignment="1">
      <alignment vertical="center"/>
    </xf>
    <xf numFmtId="0" fontId="137" fillId="99" borderId="11" xfId="0" applyFont="1" applyFill="1" applyBorder="1" applyAlignment="1">
      <alignment vertical="center"/>
    </xf>
    <xf numFmtId="190" fontId="137" fillId="99" borderId="11" xfId="0" applyNumberFormat="1" applyFont="1" applyFill="1" applyBorder="1" applyAlignment="1">
      <alignment vertical="center"/>
    </xf>
    <xf numFmtId="0" fontId="137" fillId="99" borderId="44" xfId="0" applyFont="1" applyFill="1" applyBorder="1" applyAlignment="1">
      <alignment horizontal="left" vertical="center"/>
    </xf>
    <xf numFmtId="0" fontId="137" fillId="99" borderId="44" xfId="0" quotePrefix="1" applyFont="1" applyFill="1" applyBorder="1" applyAlignment="1">
      <alignment horizontal="left" vertical="center"/>
    </xf>
    <xf numFmtId="0" fontId="137" fillId="99" borderId="10" xfId="0" quotePrefix="1" applyFont="1" applyFill="1" applyBorder="1" applyAlignment="1">
      <alignment horizontal="left" vertical="center"/>
    </xf>
    <xf numFmtId="190" fontId="137" fillId="97" borderId="44" xfId="0" applyNumberFormat="1" applyFont="1" applyFill="1" applyBorder="1" applyAlignment="1">
      <alignment vertical="center"/>
    </xf>
    <xf numFmtId="1" fontId="137" fillId="99" borderId="0" xfId="0" applyNumberFormat="1" applyFont="1" applyFill="1" applyBorder="1" applyAlignment="1">
      <alignment horizontal="right" vertical="center"/>
    </xf>
    <xf numFmtId="179" fontId="136" fillId="96" borderId="0" xfId="0" applyNumberFormat="1" applyFont="1" applyFill="1" applyBorder="1" applyAlignment="1">
      <alignment vertical="center"/>
    </xf>
    <xf numFmtId="3" fontId="136" fillId="96" borderId="0" xfId="0" applyNumberFormat="1" applyFont="1" applyFill="1" applyBorder="1"/>
    <xf numFmtId="49" fontId="136" fillId="96" borderId="0" xfId="0" applyNumberFormat="1" applyFont="1" applyFill="1" applyBorder="1" applyAlignment="1">
      <alignment vertical="center"/>
    </xf>
    <xf numFmtId="190" fontId="161" fillId="96" borderId="0" xfId="0" applyNumberFormat="1" applyFont="1" applyFill="1" applyBorder="1" applyAlignment="1">
      <alignment vertical="center"/>
    </xf>
    <xf numFmtId="0" fontId="137" fillId="99" borderId="11" xfId="0" applyFont="1" applyFill="1" applyBorder="1" applyAlignment="1">
      <alignment horizontal="left" vertical="center"/>
    </xf>
    <xf numFmtId="0" fontId="137" fillId="99" borderId="11" xfId="0" quotePrefix="1" applyFont="1" applyFill="1" applyBorder="1" applyAlignment="1">
      <alignment horizontal="left" vertical="center"/>
    </xf>
    <xf numFmtId="0" fontId="136" fillId="96" borderId="57" xfId="0" quotePrefix="1" applyFont="1" applyFill="1" applyBorder="1" applyAlignment="1">
      <alignment horizontal="right" vertical="center"/>
    </xf>
    <xf numFmtId="0" fontId="136" fillId="96" borderId="57" xfId="0" applyFont="1" applyFill="1" applyBorder="1" applyAlignment="1">
      <alignment vertical="center"/>
    </xf>
    <xf numFmtId="190" fontId="136" fillId="96" borderId="57" xfId="0" applyNumberFormat="1" applyFont="1" applyFill="1" applyBorder="1" applyAlignment="1">
      <alignment vertical="center"/>
    </xf>
    <xf numFmtId="9" fontId="69" fillId="0" borderId="0" xfId="0" applyNumberFormat="1" applyFont="1"/>
    <xf numFmtId="9" fontId="136" fillId="96" borderId="0" xfId="0" applyNumberFormat="1" applyFont="1" applyFill="1" applyBorder="1"/>
    <xf numFmtId="0" fontId="170" fillId="106" borderId="0" xfId="0" applyFont="1" applyFill="1" applyBorder="1"/>
    <xf numFmtId="0" fontId="132" fillId="106" borderId="0" xfId="0" applyFont="1" applyFill="1" applyBorder="1"/>
    <xf numFmtId="1" fontId="146" fillId="96" borderId="0" xfId="0" applyNumberFormat="1" applyFont="1" applyFill="1" applyBorder="1" applyAlignment="1">
      <alignment horizontal="center"/>
    </xf>
    <xf numFmtId="0" fontId="137" fillId="99" borderId="11" xfId="0" applyFont="1" applyFill="1" applyBorder="1"/>
    <xf numFmtId="190" fontId="137" fillId="99" borderId="11" xfId="0" applyNumberFormat="1" applyFont="1" applyFill="1" applyBorder="1"/>
    <xf numFmtId="1" fontId="137" fillId="96" borderId="11" xfId="0" applyNumberFormat="1" applyFont="1" applyFill="1" applyBorder="1" applyAlignment="1">
      <alignment horizontal="center"/>
    </xf>
    <xf numFmtId="0" fontId="137" fillId="96" borderId="56" xfId="0" applyFont="1" applyFill="1" applyBorder="1"/>
    <xf numFmtId="190" fontId="137" fillId="96" borderId="56" xfId="0" applyNumberFormat="1" applyFont="1" applyFill="1" applyBorder="1"/>
    <xf numFmtId="0" fontId="162" fillId="96" borderId="0" xfId="0" applyFont="1" applyFill="1"/>
    <xf numFmtId="10" fontId="168" fillId="96" borderId="0" xfId="0" applyNumberFormat="1" applyFont="1" applyFill="1"/>
    <xf numFmtId="9" fontId="168" fillId="96" borderId="0" xfId="0" applyNumberFormat="1" applyFont="1" applyFill="1"/>
    <xf numFmtId="0" fontId="0" fillId="97" borderId="0" xfId="0" applyFill="1"/>
    <xf numFmtId="184" fontId="135" fillId="99" borderId="0" xfId="0" applyNumberFormat="1" applyFont="1" applyFill="1"/>
    <xf numFmtId="190" fontId="139" fillId="97" borderId="53" xfId="0" applyNumberFormat="1" applyFont="1" applyFill="1" applyBorder="1"/>
    <xf numFmtId="0" fontId="177" fillId="0" borderId="0" xfId="0" applyFont="1"/>
    <xf numFmtId="184" fontId="139" fillId="97" borderId="53" xfId="0" applyNumberFormat="1" applyFont="1" applyFill="1" applyBorder="1"/>
    <xf numFmtId="0" fontId="164" fillId="99" borderId="0" xfId="0" applyFont="1" applyFill="1"/>
    <xf numFmtId="0" fontId="69" fillId="99" borderId="0" xfId="0" applyFont="1" applyFill="1"/>
    <xf numFmtId="0" fontId="164" fillId="99" borderId="0" xfId="0" applyFont="1" applyFill="1" applyAlignment="1">
      <alignment horizontal="center"/>
    </xf>
    <xf numFmtId="9" fontId="69" fillId="99" borderId="0" xfId="0" applyNumberFormat="1" applyFont="1" applyFill="1"/>
    <xf numFmtId="0" fontId="177" fillId="99" borderId="0" xfId="0" applyFont="1" applyFill="1"/>
    <xf numFmtId="198" fontId="135" fillId="0" borderId="0" xfId="0" applyNumberFormat="1" applyFont="1"/>
    <xf numFmtId="198" fontId="139" fillId="97" borderId="53" xfId="0" applyNumberFormat="1" applyFont="1" applyFill="1" applyBorder="1"/>
    <xf numFmtId="199" fontId="164" fillId="99" borderId="0" xfId="0" applyNumberFormat="1" applyFont="1" applyFill="1" applyAlignment="1">
      <alignment horizontal="center"/>
    </xf>
    <xf numFmtId="0" fontId="178" fillId="0" borderId="0" xfId="0" applyFont="1"/>
  </cellXfs>
  <cellStyles count="3213">
    <cellStyle name="=D:\WINNT\SYSTEM32\COMMAND.COM" xfId="1448" xr:uid="{00000000-0005-0000-0000-000000000000}"/>
    <cellStyle name="20% - Accent1" xfId="349" builtinId="30" customBuiltin="1"/>
    <cellStyle name="20% - Accent2" xfId="353" builtinId="34" customBuiltin="1"/>
    <cellStyle name="20% - Accent3" xfId="357" builtinId="38" customBuiltin="1"/>
    <cellStyle name="20% - Accent4" xfId="361" builtinId="42" customBuiltin="1"/>
    <cellStyle name="20% - Accent5" xfId="365" builtinId="46" customBuiltin="1"/>
    <cellStyle name="20% - Accent6" xfId="369" builtinId="50" customBuiltin="1"/>
    <cellStyle name="20% - akcent 1 2" xfId="103" xr:uid="{00000000-0005-0000-0000-000002000000}"/>
    <cellStyle name="20% - akcent 1 2 2" xfId="489" xr:uid="{00000000-0005-0000-0000-000003000000}"/>
    <cellStyle name="20% - akcent 1 2 3" xfId="412" xr:uid="{00000000-0005-0000-0000-000004000000}"/>
    <cellStyle name="20% - akcent 1 3" xfId="249" xr:uid="{00000000-0005-0000-0000-000005000000}"/>
    <cellStyle name="20% - akcent 1 3 2" xfId="570" xr:uid="{00000000-0005-0000-0000-000006000000}"/>
    <cellStyle name="20% - akcent 1 3 2 2" xfId="671" xr:uid="{00000000-0005-0000-0000-000007000000}"/>
    <cellStyle name="20% - akcent 1 3 2 2 2" xfId="923" xr:uid="{00000000-0005-0000-0000-000008000000}"/>
    <cellStyle name="20% - akcent 1 3 2 3" xfId="1042" xr:uid="{00000000-0005-0000-0000-000009000000}"/>
    <cellStyle name="20% - akcent 1 3 2 4" xfId="810" xr:uid="{00000000-0005-0000-0000-00000A000000}"/>
    <cellStyle name="20% - akcent 1 3 3" xfId="617" xr:uid="{00000000-0005-0000-0000-00000B000000}"/>
    <cellStyle name="20% - akcent 1 3 3 2" xfId="866" xr:uid="{00000000-0005-0000-0000-00000C000000}"/>
    <cellStyle name="20% - akcent 1 3 4" xfId="988" xr:uid="{00000000-0005-0000-0000-00000D000000}"/>
    <cellStyle name="20% - akcent 1 3 5" xfId="759" xr:uid="{00000000-0005-0000-0000-00000E000000}"/>
    <cellStyle name="20% - akcent 1 4" xfId="222" xr:uid="{00000000-0005-0000-0000-00000F000000}"/>
    <cellStyle name="20% - akcent 1 4 2" xfId="556" xr:uid="{00000000-0005-0000-0000-000010000000}"/>
    <cellStyle name="20% - akcent 1 4 2 2" xfId="655" xr:uid="{00000000-0005-0000-0000-000011000000}"/>
    <cellStyle name="20% - akcent 1 4 2 2 2" xfId="907" xr:uid="{00000000-0005-0000-0000-000012000000}"/>
    <cellStyle name="20% - akcent 1 4 2 3" xfId="1026" xr:uid="{00000000-0005-0000-0000-000013000000}"/>
    <cellStyle name="20% - akcent 1 4 2 4" xfId="794" xr:uid="{00000000-0005-0000-0000-000014000000}"/>
    <cellStyle name="20% - akcent 1 4 3" xfId="601" xr:uid="{00000000-0005-0000-0000-000015000000}"/>
    <cellStyle name="20% - akcent 1 4 3 2" xfId="848" xr:uid="{00000000-0005-0000-0000-000016000000}"/>
    <cellStyle name="20% - akcent 1 4 4" xfId="972" xr:uid="{00000000-0005-0000-0000-000017000000}"/>
    <cellStyle name="20% - akcent 1 4 5" xfId="743" xr:uid="{00000000-0005-0000-0000-000018000000}"/>
    <cellStyle name="20% - akcent 1 5" xfId="540" xr:uid="{00000000-0005-0000-0000-000019000000}"/>
    <cellStyle name="20% - akcent 1 5 2" xfId="585" xr:uid="{00000000-0005-0000-0000-00001A000000}"/>
    <cellStyle name="20% - akcent 1 5 2 2" xfId="690" xr:uid="{00000000-0005-0000-0000-00001B000000}"/>
    <cellStyle name="20% - akcent 1 5 2 2 2" xfId="943" xr:uid="{00000000-0005-0000-0000-00001C000000}"/>
    <cellStyle name="20% - akcent 1 5 2 3" xfId="1061" xr:uid="{00000000-0005-0000-0000-00001D000000}"/>
    <cellStyle name="20% - akcent 1 5 2 4" xfId="830" xr:uid="{00000000-0005-0000-0000-00001E000000}"/>
    <cellStyle name="20% - akcent 1 5 3" xfId="634" xr:uid="{00000000-0005-0000-0000-00001F000000}"/>
    <cellStyle name="20% - akcent 1 5 3 2" xfId="886" xr:uid="{00000000-0005-0000-0000-000020000000}"/>
    <cellStyle name="20% - akcent 1 5 4" xfId="1008" xr:uid="{00000000-0005-0000-0000-000021000000}"/>
    <cellStyle name="20% - akcent 1 5 5" xfId="778" xr:uid="{00000000-0005-0000-0000-000022000000}"/>
    <cellStyle name="20% - akcent 1 6" xfId="717" xr:uid="{00000000-0005-0000-0000-000023000000}"/>
    <cellStyle name="20% - akcent 2 2" xfId="104" xr:uid="{00000000-0005-0000-0000-000025000000}"/>
    <cellStyle name="20% - akcent 2 2 2" xfId="524" xr:uid="{00000000-0005-0000-0000-000026000000}"/>
    <cellStyle name="20% - akcent 2 2 3" xfId="416" xr:uid="{00000000-0005-0000-0000-000027000000}"/>
    <cellStyle name="20% - akcent 2 3" xfId="251" xr:uid="{00000000-0005-0000-0000-000028000000}"/>
    <cellStyle name="20% - akcent 2 3 2" xfId="572" xr:uid="{00000000-0005-0000-0000-000029000000}"/>
    <cellStyle name="20% - akcent 2 3 2 2" xfId="673" xr:uid="{00000000-0005-0000-0000-00002A000000}"/>
    <cellStyle name="20% - akcent 2 3 2 2 2" xfId="925" xr:uid="{00000000-0005-0000-0000-00002B000000}"/>
    <cellStyle name="20% - akcent 2 3 2 3" xfId="1044" xr:uid="{00000000-0005-0000-0000-00002C000000}"/>
    <cellStyle name="20% - akcent 2 3 2 4" xfId="812" xr:uid="{00000000-0005-0000-0000-00002D000000}"/>
    <cellStyle name="20% - akcent 2 3 3" xfId="619" xr:uid="{00000000-0005-0000-0000-00002E000000}"/>
    <cellStyle name="20% - akcent 2 3 3 2" xfId="868" xr:uid="{00000000-0005-0000-0000-00002F000000}"/>
    <cellStyle name="20% - akcent 2 3 4" xfId="990" xr:uid="{00000000-0005-0000-0000-000030000000}"/>
    <cellStyle name="20% - akcent 2 3 5" xfId="761" xr:uid="{00000000-0005-0000-0000-000031000000}"/>
    <cellStyle name="20% - akcent 2 4" xfId="226" xr:uid="{00000000-0005-0000-0000-000032000000}"/>
    <cellStyle name="20% - akcent 2 4 2" xfId="558" xr:uid="{00000000-0005-0000-0000-000033000000}"/>
    <cellStyle name="20% - akcent 2 4 2 2" xfId="657" xr:uid="{00000000-0005-0000-0000-000034000000}"/>
    <cellStyle name="20% - akcent 2 4 2 2 2" xfId="909" xr:uid="{00000000-0005-0000-0000-000035000000}"/>
    <cellStyle name="20% - akcent 2 4 2 3" xfId="1028" xr:uid="{00000000-0005-0000-0000-000036000000}"/>
    <cellStyle name="20% - akcent 2 4 2 4" xfId="796" xr:uid="{00000000-0005-0000-0000-000037000000}"/>
    <cellStyle name="20% - akcent 2 4 3" xfId="603" xr:uid="{00000000-0005-0000-0000-000038000000}"/>
    <cellStyle name="20% - akcent 2 4 3 2" xfId="850" xr:uid="{00000000-0005-0000-0000-000039000000}"/>
    <cellStyle name="20% - akcent 2 4 4" xfId="974" xr:uid="{00000000-0005-0000-0000-00003A000000}"/>
    <cellStyle name="20% - akcent 2 4 5" xfId="745" xr:uid="{00000000-0005-0000-0000-00003B000000}"/>
    <cellStyle name="20% - akcent 2 5" xfId="542" xr:uid="{00000000-0005-0000-0000-00003C000000}"/>
    <cellStyle name="20% - akcent 2 5 2" xfId="587" xr:uid="{00000000-0005-0000-0000-00003D000000}"/>
    <cellStyle name="20% - akcent 2 5 2 2" xfId="692" xr:uid="{00000000-0005-0000-0000-00003E000000}"/>
    <cellStyle name="20% - akcent 2 5 2 2 2" xfId="945" xr:uid="{00000000-0005-0000-0000-00003F000000}"/>
    <cellStyle name="20% - akcent 2 5 2 3" xfId="1063" xr:uid="{00000000-0005-0000-0000-000040000000}"/>
    <cellStyle name="20% - akcent 2 5 2 4" xfId="832" xr:uid="{00000000-0005-0000-0000-000041000000}"/>
    <cellStyle name="20% - akcent 2 5 3" xfId="636" xr:uid="{00000000-0005-0000-0000-000042000000}"/>
    <cellStyle name="20% - akcent 2 5 3 2" xfId="888" xr:uid="{00000000-0005-0000-0000-000043000000}"/>
    <cellStyle name="20% - akcent 2 5 4" xfId="1010" xr:uid="{00000000-0005-0000-0000-000044000000}"/>
    <cellStyle name="20% - akcent 2 5 5" xfId="780" xr:uid="{00000000-0005-0000-0000-000045000000}"/>
    <cellStyle name="20% - akcent 2 6" xfId="719" xr:uid="{00000000-0005-0000-0000-000046000000}"/>
    <cellStyle name="20% - akcent 3 2" xfId="105" xr:uid="{00000000-0005-0000-0000-000048000000}"/>
    <cellStyle name="20% - akcent 3 2 2" xfId="523" xr:uid="{00000000-0005-0000-0000-000049000000}"/>
    <cellStyle name="20% - akcent 3 2 3" xfId="420" xr:uid="{00000000-0005-0000-0000-00004A000000}"/>
    <cellStyle name="20% - akcent 3 3" xfId="253" xr:uid="{00000000-0005-0000-0000-00004B000000}"/>
    <cellStyle name="20% - akcent 3 3 2" xfId="574" xr:uid="{00000000-0005-0000-0000-00004C000000}"/>
    <cellStyle name="20% - akcent 3 3 2 2" xfId="675" xr:uid="{00000000-0005-0000-0000-00004D000000}"/>
    <cellStyle name="20% - akcent 3 3 2 2 2" xfId="927" xr:uid="{00000000-0005-0000-0000-00004E000000}"/>
    <cellStyle name="20% - akcent 3 3 2 3" xfId="1046" xr:uid="{00000000-0005-0000-0000-00004F000000}"/>
    <cellStyle name="20% - akcent 3 3 2 4" xfId="814" xr:uid="{00000000-0005-0000-0000-000050000000}"/>
    <cellStyle name="20% - akcent 3 3 3" xfId="621" xr:uid="{00000000-0005-0000-0000-000051000000}"/>
    <cellStyle name="20% - akcent 3 3 3 2" xfId="870" xr:uid="{00000000-0005-0000-0000-000052000000}"/>
    <cellStyle name="20% - akcent 3 3 4" xfId="992" xr:uid="{00000000-0005-0000-0000-000053000000}"/>
    <cellStyle name="20% - akcent 3 3 5" xfId="763" xr:uid="{00000000-0005-0000-0000-000054000000}"/>
    <cellStyle name="20% - akcent 3 4" xfId="230" xr:uid="{00000000-0005-0000-0000-000055000000}"/>
    <cellStyle name="20% - akcent 3 4 2" xfId="560" xr:uid="{00000000-0005-0000-0000-000056000000}"/>
    <cellStyle name="20% - akcent 3 4 2 2" xfId="659" xr:uid="{00000000-0005-0000-0000-000057000000}"/>
    <cellStyle name="20% - akcent 3 4 2 2 2" xfId="911" xr:uid="{00000000-0005-0000-0000-000058000000}"/>
    <cellStyle name="20% - akcent 3 4 2 3" xfId="1030" xr:uid="{00000000-0005-0000-0000-000059000000}"/>
    <cellStyle name="20% - akcent 3 4 2 4" xfId="798" xr:uid="{00000000-0005-0000-0000-00005A000000}"/>
    <cellStyle name="20% - akcent 3 4 3" xfId="605" xr:uid="{00000000-0005-0000-0000-00005B000000}"/>
    <cellStyle name="20% - akcent 3 4 3 2" xfId="852" xr:uid="{00000000-0005-0000-0000-00005C000000}"/>
    <cellStyle name="20% - akcent 3 4 4" xfId="976" xr:uid="{00000000-0005-0000-0000-00005D000000}"/>
    <cellStyle name="20% - akcent 3 4 5" xfId="747" xr:uid="{00000000-0005-0000-0000-00005E000000}"/>
    <cellStyle name="20% - akcent 3 5" xfId="544" xr:uid="{00000000-0005-0000-0000-00005F000000}"/>
    <cellStyle name="20% - akcent 3 5 2" xfId="589" xr:uid="{00000000-0005-0000-0000-000060000000}"/>
    <cellStyle name="20% - akcent 3 5 2 2" xfId="694" xr:uid="{00000000-0005-0000-0000-000061000000}"/>
    <cellStyle name="20% - akcent 3 5 2 2 2" xfId="947" xr:uid="{00000000-0005-0000-0000-000062000000}"/>
    <cellStyle name="20% - akcent 3 5 2 3" xfId="1065" xr:uid="{00000000-0005-0000-0000-000063000000}"/>
    <cellStyle name="20% - akcent 3 5 2 4" xfId="834" xr:uid="{00000000-0005-0000-0000-000064000000}"/>
    <cellStyle name="20% - akcent 3 5 3" xfId="638" xr:uid="{00000000-0005-0000-0000-000065000000}"/>
    <cellStyle name="20% - akcent 3 5 3 2" xfId="890" xr:uid="{00000000-0005-0000-0000-000066000000}"/>
    <cellStyle name="20% - akcent 3 5 4" xfId="1012" xr:uid="{00000000-0005-0000-0000-000067000000}"/>
    <cellStyle name="20% - akcent 3 5 5" xfId="782" xr:uid="{00000000-0005-0000-0000-000068000000}"/>
    <cellStyle name="20% - akcent 3 6" xfId="721" xr:uid="{00000000-0005-0000-0000-000069000000}"/>
    <cellStyle name="20% - akcent 4 2" xfId="106" xr:uid="{00000000-0005-0000-0000-00006B000000}"/>
    <cellStyle name="20% - akcent 4 2 2" xfId="491" xr:uid="{00000000-0005-0000-0000-00006C000000}"/>
    <cellStyle name="20% - akcent 4 2 3" xfId="424" xr:uid="{00000000-0005-0000-0000-00006D000000}"/>
    <cellStyle name="20% - akcent 4 3" xfId="255" xr:uid="{00000000-0005-0000-0000-00006E000000}"/>
    <cellStyle name="20% - akcent 4 3 2" xfId="576" xr:uid="{00000000-0005-0000-0000-00006F000000}"/>
    <cellStyle name="20% - akcent 4 3 2 2" xfId="677" xr:uid="{00000000-0005-0000-0000-000070000000}"/>
    <cellStyle name="20% - akcent 4 3 2 2 2" xfId="929" xr:uid="{00000000-0005-0000-0000-000071000000}"/>
    <cellStyle name="20% - akcent 4 3 2 3" xfId="1048" xr:uid="{00000000-0005-0000-0000-000072000000}"/>
    <cellStyle name="20% - akcent 4 3 2 4" xfId="816" xr:uid="{00000000-0005-0000-0000-000073000000}"/>
    <cellStyle name="20% - akcent 4 3 3" xfId="623" xr:uid="{00000000-0005-0000-0000-000074000000}"/>
    <cellStyle name="20% - akcent 4 3 3 2" xfId="872" xr:uid="{00000000-0005-0000-0000-000075000000}"/>
    <cellStyle name="20% - akcent 4 3 4" xfId="994" xr:uid="{00000000-0005-0000-0000-000076000000}"/>
    <cellStyle name="20% - akcent 4 3 5" xfId="765" xr:uid="{00000000-0005-0000-0000-000077000000}"/>
    <cellStyle name="20% - akcent 4 4" xfId="234" xr:uid="{00000000-0005-0000-0000-000078000000}"/>
    <cellStyle name="20% - akcent 4 4 2" xfId="562" xr:uid="{00000000-0005-0000-0000-000079000000}"/>
    <cellStyle name="20% - akcent 4 4 2 2" xfId="661" xr:uid="{00000000-0005-0000-0000-00007A000000}"/>
    <cellStyle name="20% - akcent 4 4 2 2 2" xfId="913" xr:uid="{00000000-0005-0000-0000-00007B000000}"/>
    <cellStyle name="20% - akcent 4 4 2 3" xfId="1032" xr:uid="{00000000-0005-0000-0000-00007C000000}"/>
    <cellStyle name="20% - akcent 4 4 2 4" xfId="800" xr:uid="{00000000-0005-0000-0000-00007D000000}"/>
    <cellStyle name="20% - akcent 4 4 3" xfId="607" xr:uid="{00000000-0005-0000-0000-00007E000000}"/>
    <cellStyle name="20% - akcent 4 4 3 2" xfId="854" xr:uid="{00000000-0005-0000-0000-00007F000000}"/>
    <cellStyle name="20% - akcent 4 4 4" xfId="978" xr:uid="{00000000-0005-0000-0000-000080000000}"/>
    <cellStyle name="20% - akcent 4 4 5" xfId="749" xr:uid="{00000000-0005-0000-0000-000081000000}"/>
    <cellStyle name="20% - akcent 4 5" xfId="546" xr:uid="{00000000-0005-0000-0000-000082000000}"/>
    <cellStyle name="20% - akcent 4 5 2" xfId="591" xr:uid="{00000000-0005-0000-0000-000083000000}"/>
    <cellStyle name="20% - akcent 4 5 2 2" xfId="696" xr:uid="{00000000-0005-0000-0000-000084000000}"/>
    <cellStyle name="20% - akcent 4 5 2 2 2" xfId="949" xr:uid="{00000000-0005-0000-0000-000085000000}"/>
    <cellStyle name="20% - akcent 4 5 2 3" xfId="1067" xr:uid="{00000000-0005-0000-0000-000086000000}"/>
    <cellStyle name="20% - akcent 4 5 2 4" xfId="836" xr:uid="{00000000-0005-0000-0000-000087000000}"/>
    <cellStyle name="20% - akcent 4 5 3" xfId="640" xr:uid="{00000000-0005-0000-0000-000088000000}"/>
    <cellStyle name="20% - akcent 4 5 3 2" xfId="892" xr:uid="{00000000-0005-0000-0000-000089000000}"/>
    <cellStyle name="20% - akcent 4 5 4" xfId="1014" xr:uid="{00000000-0005-0000-0000-00008A000000}"/>
    <cellStyle name="20% - akcent 4 5 5" xfId="784" xr:uid="{00000000-0005-0000-0000-00008B000000}"/>
    <cellStyle name="20% - akcent 4 6" xfId="723" xr:uid="{00000000-0005-0000-0000-00008C000000}"/>
    <cellStyle name="20% - akcent 5 2" xfId="107" xr:uid="{00000000-0005-0000-0000-00008E000000}"/>
    <cellStyle name="20% - akcent 5 2 2" xfId="503" xr:uid="{00000000-0005-0000-0000-00008F000000}"/>
    <cellStyle name="20% - akcent 5 2 3" xfId="428" xr:uid="{00000000-0005-0000-0000-000090000000}"/>
    <cellStyle name="20% - akcent 5 3" xfId="257" xr:uid="{00000000-0005-0000-0000-000091000000}"/>
    <cellStyle name="20% - akcent 5 3 2" xfId="578" xr:uid="{00000000-0005-0000-0000-000092000000}"/>
    <cellStyle name="20% - akcent 5 3 2 2" xfId="679" xr:uid="{00000000-0005-0000-0000-000093000000}"/>
    <cellStyle name="20% - akcent 5 3 2 2 2" xfId="931" xr:uid="{00000000-0005-0000-0000-000094000000}"/>
    <cellStyle name="20% - akcent 5 3 2 3" xfId="1050" xr:uid="{00000000-0005-0000-0000-000095000000}"/>
    <cellStyle name="20% - akcent 5 3 2 4" xfId="818" xr:uid="{00000000-0005-0000-0000-000096000000}"/>
    <cellStyle name="20% - akcent 5 3 3" xfId="625" xr:uid="{00000000-0005-0000-0000-000097000000}"/>
    <cellStyle name="20% - akcent 5 3 3 2" xfId="874" xr:uid="{00000000-0005-0000-0000-000098000000}"/>
    <cellStyle name="20% - akcent 5 3 4" xfId="996" xr:uid="{00000000-0005-0000-0000-000099000000}"/>
    <cellStyle name="20% - akcent 5 3 5" xfId="767" xr:uid="{00000000-0005-0000-0000-00009A000000}"/>
    <cellStyle name="20% - akcent 5 4" xfId="238" xr:uid="{00000000-0005-0000-0000-00009B000000}"/>
    <cellStyle name="20% - akcent 5 4 2" xfId="564" xr:uid="{00000000-0005-0000-0000-00009C000000}"/>
    <cellStyle name="20% - akcent 5 4 2 2" xfId="663" xr:uid="{00000000-0005-0000-0000-00009D000000}"/>
    <cellStyle name="20% - akcent 5 4 2 2 2" xfId="915" xr:uid="{00000000-0005-0000-0000-00009E000000}"/>
    <cellStyle name="20% - akcent 5 4 2 3" xfId="1034" xr:uid="{00000000-0005-0000-0000-00009F000000}"/>
    <cellStyle name="20% - akcent 5 4 2 4" xfId="802" xr:uid="{00000000-0005-0000-0000-0000A0000000}"/>
    <cellStyle name="20% - akcent 5 4 3" xfId="609" xr:uid="{00000000-0005-0000-0000-0000A1000000}"/>
    <cellStyle name="20% - akcent 5 4 3 2" xfId="856" xr:uid="{00000000-0005-0000-0000-0000A2000000}"/>
    <cellStyle name="20% - akcent 5 4 4" xfId="980" xr:uid="{00000000-0005-0000-0000-0000A3000000}"/>
    <cellStyle name="20% - akcent 5 4 5" xfId="751" xr:uid="{00000000-0005-0000-0000-0000A4000000}"/>
    <cellStyle name="20% - akcent 5 5" xfId="548" xr:uid="{00000000-0005-0000-0000-0000A5000000}"/>
    <cellStyle name="20% - akcent 5 5 2" xfId="593" xr:uid="{00000000-0005-0000-0000-0000A6000000}"/>
    <cellStyle name="20% - akcent 5 5 2 2" xfId="698" xr:uid="{00000000-0005-0000-0000-0000A7000000}"/>
    <cellStyle name="20% - akcent 5 5 2 2 2" xfId="951" xr:uid="{00000000-0005-0000-0000-0000A8000000}"/>
    <cellStyle name="20% - akcent 5 5 2 3" xfId="1069" xr:uid="{00000000-0005-0000-0000-0000A9000000}"/>
    <cellStyle name="20% - akcent 5 5 2 4" xfId="838" xr:uid="{00000000-0005-0000-0000-0000AA000000}"/>
    <cellStyle name="20% - akcent 5 5 3" xfId="642" xr:uid="{00000000-0005-0000-0000-0000AB000000}"/>
    <cellStyle name="20% - akcent 5 5 3 2" xfId="894" xr:uid="{00000000-0005-0000-0000-0000AC000000}"/>
    <cellStyle name="20% - akcent 5 5 4" xfId="1016" xr:uid="{00000000-0005-0000-0000-0000AD000000}"/>
    <cellStyle name="20% - akcent 5 5 5" xfId="786" xr:uid="{00000000-0005-0000-0000-0000AE000000}"/>
    <cellStyle name="20% - akcent 5 6" xfId="725" xr:uid="{00000000-0005-0000-0000-0000AF000000}"/>
    <cellStyle name="20% - akcent 6 2" xfId="108" xr:uid="{00000000-0005-0000-0000-0000B1000000}"/>
    <cellStyle name="20% - akcent 6 2 2" xfId="525" xr:uid="{00000000-0005-0000-0000-0000B2000000}"/>
    <cellStyle name="20% - akcent 6 2 3" xfId="432" xr:uid="{00000000-0005-0000-0000-0000B3000000}"/>
    <cellStyle name="20% - akcent 6 3" xfId="259" xr:uid="{00000000-0005-0000-0000-0000B4000000}"/>
    <cellStyle name="20% - akcent 6 3 2" xfId="580" xr:uid="{00000000-0005-0000-0000-0000B5000000}"/>
    <cellStyle name="20% - akcent 6 3 2 2" xfId="681" xr:uid="{00000000-0005-0000-0000-0000B6000000}"/>
    <cellStyle name="20% - akcent 6 3 2 2 2" xfId="933" xr:uid="{00000000-0005-0000-0000-0000B7000000}"/>
    <cellStyle name="20% - akcent 6 3 2 3" xfId="1052" xr:uid="{00000000-0005-0000-0000-0000B8000000}"/>
    <cellStyle name="20% - akcent 6 3 2 4" xfId="820" xr:uid="{00000000-0005-0000-0000-0000B9000000}"/>
    <cellStyle name="20% - akcent 6 3 3" xfId="627" xr:uid="{00000000-0005-0000-0000-0000BA000000}"/>
    <cellStyle name="20% - akcent 6 3 3 2" xfId="876" xr:uid="{00000000-0005-0000-0000-0000BB000000}"/>
    <cellStyle name="20% - akcent 6 3 4" xfId="998" xr:uid="{00000000-0005-0000-0000-0000BC000000}"/>
    <cellStyle name="20% - akcent 6 3 5" xfId="769" xr:uid="{00000000-0005-0000-0000-0000BD000000}"/>
    <cellStyle name="20% - akcent 6 4" xfId="242" xr:uid="{00000000-0005-0000-0000-0000BE000000}"/>
    <cellStyle name="20% - akcent 6 4 2" xfId="566" xr:uid="{00000000-0005-0000-0000-0000BF000000}"/>
    <cellStyle name="20% - akcent 6 4 2 2" xfId="665" xr:uid="{00000000-0005-0000-0000-0000C0000000}"/>
    <cellStyle name="20% - akcent 6 4 2 2 2" xfId="917" xr:uid="{00000000-0005-0000-0000-0000C1000000}"/>
    <cellStyle name="20% - akcent 6 4 2 3" xfId="1036" xr:uid="{00000000-0005-0000-0000-0000C2000000}"/>
    <cellStyle name="20% - akcent 6 4 2 4" xfId="804" xr:uid="{00000000-0005-0000-0000-0000C3000000}"/>
    <cellStyle name="20% - akcent 6 4 3" xfId="612" xr:uid="{00000000-0005-0000-0000-0000C4000000}"/>
    <cellStyle name="20% - akcent 6 4 3 2" xfId="858" xr:uid="{00000000-0005-0000-0000-0000C5000000}"/>
    <cellStyle name="20% - akcent 6 4 4" xfId="982" xr:uid="{00000000-0005-0000-0000-0000C6000000}"/>
    <cellStyle name="20% - akcent 6 4 5" xfId="753" xr:uid="{00000000-0005-0000-0000-0000C7000000}"/>
    <cellStyle name="20% - akcent 6 5" xfId="550" xr:uid="{00000000-0005-0000-0000-0000C8000000}"/>
    <cellStyle name="20% - akcent 6 5 2" xfId="595" xr:uid="{00000000-0005-0000-0000-0000C9000000}"/>
    <cellStyle name="20% - akcent 6 5 2 2" xfId="700" xr:uid="{00000000-0005-0000-0000-0000CA000000}"/>
    <cellStyle name="20% - akcent 6 5 2 2 2" xfId="953" xr:uid="{00000000-0005-0000-0000-0000CB000000}"/>
    <cellStyle name="20% - akcent 6 5 2 3" xfId="1071" xr:uid="{00000000-0005-0000-0000-0000CC000000}"/>
    <cellStyle name="20% - akcent 6 5 2 4" xfId="840" xr:uid="{00000000-0005-0000-0000-0000CD000000}"/>
    <cellStyle name="20% - akcent 6 5 3" xfId="644" xr:uid="{00000000-0005-0000-0000-0000CE000000}"/>
    <cellStyle name="20% - akcent 6 5 3 2" xfId="896" xr:uid="{00000000-0005-0000-0000-0000CF000000}"/>
    <cellStyle name="20% - akcent 6 5 4" xfId="1018" xr:uid="{00000000-0005-0000-0000-0000D0000000}"/>
    <cellStyle name="20% - akcent 6 5 5" xfId="788" xr:uid="{00000000-0005-0000-0000-0000D1000000}"/>
    <cellStyle name="20% - akcent 6 6" xfId="727" xr:uid="{00000000-0005-0000-0000-0000D2000000}"/>
    <cellStyle name="40% - Accent1" xfId="350" builtinId="31" customBuiltin="1"/>
    <cellStyle name="40% - Accent2" xfId="354" builtinId="35" customBuiltin="1"/>
    <cellStyle name="40% - Accent3" xfId="358" builtinId="39" customBuiltin="1"/>
    <cellStyle name="40% - Accent4" xfId="362" builtinId="43" customBuiltin="1"/>
    <cellStyle name="40% - Accent5" xfId="366" builtinId="47" customBuiltin="1"/>
    <cellStyle name="40% - Accent6" xfId="370" builtinId="51" customBuiltin="1"/>
    <cellStyle name="40% - akcent 1 2" xfId="109" xr:uid="{00000000-0005-0000-0000-0000D4000000}"/>
    <cellStyle name="40% - akcent 1 2 2" xfId="494" xr:uid="{00000000-0005-0000-0000-0000D5000000}"/>
    <cellStyle name="40% - akcent 1 2 3" xfId="413" xr:uid="{00000000-0005-0000-0000-0000D6000000}"/>
    <cellStyle name="40% - akcent 1 3" xfId="250" xr:uid="{00000000-0005-0000-0000-0000D7000000}"/>
    <cellStyle name="40% - akcent 1 3 2" xfId="571" xr:uid="{00000000-0005-0000-0000-0000D8000000}"/>
    <cellStyle name="40% - akcent 1 3 2 2" xfId="672" xr:uid="{00000000-0005-0000-0000-0000D9000000}"/>
    <cellStyle name="40% - akcent 1 3 2 2 2" xfId="924" xr:uid="{00000000-0005-0000-0000-0000DA000000}"/>
    <cellStyle name="40% - akcent 1 3 2 3" xfId="1043" xr:uid="{00000000-0005-0000-0000-0000DB000000}"/>
    <cellStyle name="40% - akcent 1 3 2 4" xfId="811" xr:uid="{00000000-0005-0000-0000-0000DC000000}"/>
    <cellStyle name="40% - akcent 1 3 3" xfId="618" xr:uid="{00000000-0005-0000-0000-0000DD000000}"/>
    <cellStyle name="40% - akcent 1 3 3 2" xfId="867" xr:uid="{00000000-0005-0000-0000-0000DE000000}"/>
    <cellStyle name="40% - akcent 1 3 4" xfId="989" xr:uid="{00000000-0005-0000-0000-0000DF000000}"/>
    <cellStyle name="40% - akcent 1 3 5" xfId="760" xr:uid="{00000000-0005-0000-0000-0000E0000000}"/>
    <cellStyle name="40% - akcent 1 4" xfId="223" xr:uid="{00000000-0005-0000-0000-0000E1000000}"/>
    <cellStyle name="40% - akcent 1 4 2" xfId="557" xr:uid="{00000000-0005-0000-0000-0000E2000000}"/>
    <cellStyle name="40% - akcent 1 4 2 2" xfId="656" xr:uid="{00000000-0005-0000-0000-0000E3000000}"/>
    <cellStyle name="40% - akcent 1 4 2 2 2" xfId="908" xr:uid="{00000000-0005-0000-0000-0000E4000000}"/>
    <cellStyle name="40% - akcent 1 4 2 3" xfId="1027" xr:uid="{00000000-0005-0000-0000-0000E5000000}"/>
    <cellStyle name="40% - akcent 1 4 2 4" xfId="795" xr:uid="{00000000-0005-0000-0000-0000E6000000}"/>
    <cellStyle name="40% - akcent 1 4 3" xfId="602" xr:uid="{00000000-0005-0000-0000-0000E7000000}"/>
    <cellStyle name="40% - akcent 1 4 3 2" xfId="849" xr:uid="{00000000-0005-0000-0000-0000E8000000}"/>
    <cellStyle name="40% - akcent 1 4 4" xfId="973" xr:uid="{00000000-0005-0000-0000-0000E9000000}"/>
    <cellStyle name="40% - akcent 1 4 5" xfId="744" xr:uid="{00000000-0005-0000-0000-0000EA000000}"/>
    <cellStyle name="40% - akcent 1 5" xfId="541" xr:uid="{00000000-0005-0000-0000-0000EB000000}"/>
    <cellStyle name="40% - akcent 1 5 2" xfId="586" xr:uid="{00000000-0005-0000-0000-0000EC000000}"/>
    <cellStyle name="40% - akcent 1 5 2 2" xfId="691" xr:uid="{00000000-0005-0000-0000-0000ED000000}"/>
    <cellStyle name="40% - akcent 1 5 2 2 2" xfId="944" xr:uid="{00000000-0005-0000-0000-0000EE000000}"/>
    <cellStyle name="40% - akcent 1 5 2 3" xfId="1062" xr:uid="{00000000-0005-0000-0000-0000EF000000}"/>
    <cellStyle name="40% - akcent 1 5 2 4" xfId="831" xr:uid="{00000000-0005-0000-0000-0000F0000000}"/>
    <cellStyle name="40% - akcent 1 5 3" xfId="635" xr:uid="{00000000-0005-0000-0000-0000F1000000}"/>
    <cellStyle name="40% - akcent 1 5 3 2" xfId="887" xr:uid="{00000000-0005-0000-0000-0000F2000000}"/>
    <cellStyle name="40% - akcent 1 5 4" xfId="1009" xr:uid="{00000000-0005-0000-0000-0000F3000000}"/>
    <cellStyle name="40% - akcent 1 5 5" xfId="779" xr:uid="{00000000-0005-0000-0000-0000F4000000}"/>
    <cellStyle name="40% - akcent 1 6" xfId="718" xr:uid="{00000000-0005-0000-0000-0000F5000000}"/>
    <cellStyle name="40% - akcent 2 2" xfId="110" xr:uid="{00000000-0005-0000-0000-0000F7000000}"/>
    <cellStyle name="40% - akcent 2 2 2" xfId="526" xr:uid="{00000000-0005-0000-0000-0000F8000000}"/>
    <cellStyle name="40% - akcent 2 2 3" xfId="417" xr:uid="{00000000-0005-0000-0000-0000F9000000}"/>
    <cellStyle name="40% - akcent 2 3" xfId="252" xr:uid="{00000000-0005-0000-0000-0000FA000000}"/>
    <cellStyle name="40% - akcent 2 3 2" xfId="573" xr:uid="{00000000-0005-0000-0000-0000FB000000}"/>
    <cellStyle name="40% - akcent 2 3 2 2" xfId="674" xr:uid="{00000000-0005-0000-0000-0000FC000000}"/>
    <cellStyle name="40% - akcent 2 3 2 2 2" xfId="926" xr:uid="{00000000-0005-0000-0000-0000FD000000}"/>
    <cellStyle name="40% - akcent 2 3 2 3" xfId="1045" xr:uid="{00000000-0005-0000-0000-0000FE000000}"/>
    <cellStyle name="40% - akcent 2 3 2 4" xfId="813" xr:uid="{00000000-0005-0000-0000-0000FF000000}"/>
    <cellStyle name="40% - akcent 2 3 3" xfId="620" xr:uid="{00000000-0005-0000-0000-000000010000}"/>
    <cellStyle name="40% - akcent 2 3 3 2" xfId="869" xr:uid="{00000000-0005-0000-0000-000001010000}"/>
    <cellStyle name="40% - akcent 2 3 4" xfId="991" xr:uid="{00000000-0005-0000-0000-000002010000}"/>
    <cellStyle name="40% - akcent 2 3 5" xfId="762" xr:uid="{00000000-0005-0000-0000-000003010000}"/>
    <cellStyle name="40% - akcent 2 4" xfId="227" xr:uid="{00000000-0005-0000-0000-000004010000}"/>
    <cellStyle name="40% - akcent 2 4 2" xfId="559" xr:uid="{00000000-0005-0000-0000-000005010000}"/>
    <cellStyle name="40% - akcent 2 4 2 2" xfId="658" xr:uid="{00000000-0005-0000-0000-000006010000}"/>
    <cellStyle name="40% - akcent 2 4 2 2 2" xfId="910" xr:uid="{00000000-0005-0000-0000-000007010000}"/>
    <cellStyle name="40% - akcent 2 4 2 3" xfId="1029" xr:uid="{00000000-0005-0000-0000-000008010000}"/>
    <cellStyle name="40% - akcent 2 4 2 4" xfId="797" xr:uid="{00000000-0005-0000-0000-000009010000}"/>
    <cellStyle name="40% - akcent 2 4 3" xfId="604" xr:uid="{00000000-0005-0000-0000-00000A010000}"/>
    <cellStyle name="40% - akcent 2 4 3 2" xfId="851" xr:uid="{00000000-0005-0000-0000-00000B010000}"/>
    <cellStyle name="40% - akcent 2 4 4" xfId="975" xr:uid="{00000000-0005-0000-0000-00000C010000}"/>
    <cellStyle name="40% - akcent 2 4 5" xfId="746" xr:uid="{00000000-0005-0000-0000-00000D010000}"/>
    <cellStyle name="40% - akcent 2 5" xfId="543" xr:uid="{00000000-0005-0000-0000-00000E010000}"/>
    <cellStyle name="40% - akcent 2 5 2" xfId="588" xr:uid="{00000000-0005-0000-0000-00000F010000}"/>
    <cellStyle name="40% - akcent 2 5 2 2" xfId="693" xr:uid="{00000000-0005-0000-0000-000010010000}"/>
    <cellStyle name="40% - akcent 2 5 2 2 2" xfId="946" xr:uid="{00000000-0005-0000-0000-000011010000}"/>
    <cellStyle name="40% - akcent 2 5 2 3" xfId="1064" xr:uid="{00000000-0005-0000-0000-000012010000}"/>
    <cellStyle name="40% - akcent 2 5 2 4" xfId="833" xr:uid="{00000000-0005-0000-0000-000013010000}"/>
    <cellStyle name="40% - akcent 2 5 3" xfId="637" xr:uid="{00000000-0005-0000-0000-000014010000}"/>
    <cellStyle name="40% - akcent 2 5 3 2" xfId="889" xr:uid="{00000000-0005-0000-0000-000015010000}"/>
    <cellStyle name="40% - akcent 2 5 4" xfId="1011" xr:uid="{00000000-0005-0000-0000-000016010000}"/>
    <cellStyle name="40% - akcent 2 5 5" xfId="781" xr:uid="{00000000-0005-0000-0000-000017010000}"/>
    <cellStyle name="40% - akcent 2 6" xfId="720" xr:uid="{00000000-0005-0000-0000-000018010000}"/>
    <cellStyle name="40% - akcent 3 2" xfId="111" xr:uid="{00000000-0005-0000-0000-00001A010000}"/>
    <cellStyle name="40% - akcent 3 2 2" xfId="492" xr:uid="{00000000-0005-0000-0000-00001B010000}"/>
    <cellStyle name="40% - akcent 3 2 3" xfId="421" xr:uid="{00000000-0005-0000-0000-00001C010000}"/>
    <cellStyle name="40% - akcent 3 3" xfId="254" xr:uid="{00000000-0005-0000-0000-00001D010000}"/>
    <cellStyle name="40% - akcent 3 3 2" xfId="575" xr:uid="{00000000-0005-0000-0000-00001E010000}"/>
    <cellStyle name="40% - akcent 3 3 2 2" xfId="676" xr:uid="{00000000-0005-0000-0000-00001F010000}"/>
    <cellStyle name="40% - akcent 3 3 2 2 2" xfId="928" xr:uid="{00000000-0005-0000-0000-000020010000}"/>
    <cellStyle name="40% - akcent 3 3 2 3" xfId="1047" xr:uid="{00000000-0005-0000-0000-000021010000}"/>
    <cellStyle name="40% - akcent 3 3 2 4" xfId="815" xr:uid="{00000000-0005-0000-0000-000022010000}"/>
    <cellStyle name="40% - akcent 3 3 3" xfId="622" xr:uid="{00000000-0005-0000-0000-000023010000}"/>
    <cellStyle name="40% - akcent 3 3 3 2" xfId="871" xr:uid="{00000000-0005-0000-0000-000024010000}"/>
    <cellStyle name="40% - akcent 3 3 4" xfId="993" xr:uid="{00000000-0005-0000-0000-000025010000}"/>
    <cellStyle name="40% - akcent 3 3 5" xfId="764" xr:uid="{00000000-0005-0000-0000-000026010000}"/>
    <cellStyle name="40% - akcent 3 4" xfId="231" xr:uid="{00000000-0005-0000-0000-000027010000}"/>
    <cellStyle name="40% - akcent 3 4 2" xfId="561" xr:uid="{00000000-0005-0000-0000-000028010000}"/>
    <cellStyle name="40% - akcent 3 4 2 2" xfId="660" xr:uid="{00000000-0005-0000-0000-000029010000}"/>
    <cellStyle name="40% - akcent 3 4 2 2 2" xfId="912" xr:uid="{00000000-0005-0000-0000-00002A010000}"/>
    <cellStyle name="40% - akcent 3 4 2 3" xfId="1031" xr:uid="{00000000-0005-0000-0000-00002B010000}"/>
    <cellStyle name="40% - akcent 3 4 2 4" xfId="799" xr:uid="{00000000-0005-0000-0000-00002C010000}"/>
    <cellStyle name="40% - akcent 3 4 3" xfId="606" xr:uid="{00000000-0005-0000-0000-00002D010000}"/>
    <cellStyle name="40% - akcent 3 4 3 2" xfId="853" xr:uid="{00000000-0005-0000-0000-00002E010000}"/>
    <cellStyle name="40% - akcent 3 4 4" xfId="977" xr:uid="{00000000-0005-0000-0000-00002F010000}"/>
    <cellStyle name="40% - akcent 3 4 5" xfId="748" xr:uid="{00000000-0005-0000-0000-000030010000}"/>
    <cellStyle name="40% - akcent 3 5" xfId="545" xr:uid="{00000000-0005-0000-0000-000031010000}"/>
    <cellStyle name="40% - akcent 3 5 2" xfId="590" xr:uid="{00000000-0005-0000-0000-000032010000}"/>
    <cellStyle name="40% - akcent 3 5 2 2" xfId="695" xr:uid="{00000000-0005-0000-0000-000033010000}"/>
    <cellStyle name="40% - akcent 3 5 2 2 2" xfId="948" xr:uid="{00000000-0005-0000-0000-000034010000}"/>
    <cellStyle name="40% - akcent 3 5 2 3" xfId="1066" xr:uid="{00000000-0005-0000-0000-000035010000}"/>
    <cellStyle name="40% - akcent 3 5 2 4" xfId="835" xr:uid="{00000000-0005-0000-0000-000036010000}"/>
    <cellStyle name="40% - akcent 3 5 3" xfId="639" xr:uid="{00000000-0005-0000-0000-000037010000}"/>
    <cellStyle name="40% - akcent 3 5 3 2" xfId="891" xr:uid="{00000000-0005-0000-0000-000038010000}"/>
    <cellStyle name="40% - akcent 3 5 4" xfId="1013" xr:uid="{00000000-0005-0000-0000-000039010000}"/>
    <cellStyle name="40% - akcent 3 5 5" xfId="783" xr:uid="{00000000-0005-0000-0000-00003A010000}"/>
    <cellStyle name="40% - akcent 3 6" xfId="722" xr:uid="{00000000-0005-0000-0000-00003B010000}"/>
    <cellStyle name="40% - akcent 4 2" xfId="112" xr:uid="{00000000-0005-0000-0000-00003D010000}"/>
    <cellStyle name="40% - akcent 4 2 2" xfId="520" xr:uid="{00000000-0005-0000-0000-00003E010000}"/>
    <cellStyle name="40% - akcent 4 2 3" xfId="425" xr:uid="{00000000-0005-0000-0000-00003F010000}"/>
    <cellStyle name="40% - akcent 4 3" xfId="256" xr:uid="{00000000-0005-0000-0000-000040010000}"/>
    <cellStyle name="40% - akcent 4 3 2" xfId="577" xr:uid="{00000000-0005-0000-0000-000041010000}"/>
    <cellStyle name="40% - akcent 4 3 2 2" xfId="678" xr:uid="{00000000-0005-0000-0000-000042010000}"/>
    <cellStyle name="40% - akcent 4 3 2 2 2" xfId="930" xr:uid="{00000000-0005-0000-0000-000043010000}"/>
    <cellStyle name="40% - akcent 4 3 2 3" xfId="1049" xr:uid="{00000000-0005-0000-0000-000044010000}"/>
    <cellStyle name="40% - akcent 4 3 2 4" xfId="817" xr:uid="{00000000-0005-0000-0000-000045010000}"/>
    <cellStyle name="40% - akcent 4 3 3" xfId="624" xr:uid="{00000000-0005-0000-0000-000046010000}"/>
    <cellStyle name="40% - akcent 4 3 3 2" xfId="873" xr:uid="{00000000-0005-0000-0000-000047010000}"/>
    <cellStyle name="40% - akcent 4 3 4" xfId="995" xr:uid="{00000000-0005-0000-0000-000048010000}"/>
    <cellStyle name="40% - akcent 4 3 5" xfId="766" xr:uid="{00000000-0005-0000-0000-000049010000}"/>
    <cellStyle name="40% - akcent 4 4" xfId="235" xr:uid="{00000000-0005-0000-0000-00004A010000}"/>
    <cellStyle name="40% - akcent 4 4 2" xfId="563" xr:uid="{00000000-0005-0000-0000-00004B010000}"/>
    <cellStyle name="40% - akcent 4 4 2 2" xfId="662" xr:uid="{00000000-0005-0000-0000-00004C010000}"/>
    <cellStyle name="40% - akcent 4 4 2 2 2" xfId="914" xr:uid="{00000000-0005-0000-0000-00004D010000}"/>
    <cellStyle name="40% - akcent 4 4 2 3" xfId="1033" xr:uid="{00000000-0005-0000-0000-00004E010000}"/>
    <cellStyle name="40% - akcent 4 4 2 4" xfId="801" xr:uid="{00000000-0005-0000-0000-00004F010000}"/>
    <cellStyle name="40% - akcent 4 4 3" xfId="608" xr:uid="{00000000-0005-0000-0000-000050010000}"/>
    <cellStyle name="40% - akcent 4 4 3 2" xfId="855" xr:uid="{00000000-0005-0000-0000-000051010000}"/>
    <cellStyle name="40% - akcent 4 4 4" xfId="979" xr:uid="{00000000-0005-0000-0000-000052010000}"/>
    <cellStyle name="40% - akcent 4 4 5" xfId="750" xr:uid="{00000000-0005-0000-0000-000053010000}"/>
    <cellStyle name="40% - akcent 4 5" xfId="547" xr:uid="{00000000-0005-0000-0000-000054010000}"/>
    <cellStyle name="40% - akcent 4 5 2" xfId="592" xr:uid="{00000000-0005-0000-0000-000055010000}"/>
    <cellStyle name="40% - akcent 4 5 2 2" xfId="697" xr:uid="{00000000-0005-0000-0000-000056010000}"/>
    <cellStyle name="40% - akcent 4 5 2 2 2" xfId="950" xr:uid="{00000000-0005-0000-0000-000057010000}"/>
    <cellStyle name="40% - akcent 4 5 2 3" xfId="1068" xr:uid="{00000000-0005-0000-0000-000058010000}"/>
    <cellStyle name="40% - akcent 4 5 2 4" xfId="837" xr:uid="{00000000-0005-0000-0000-000059010000}"/>
    <cellStyle name="40% - akcent 4 5 3" xfId="641" xr:uid="{00000000-0005-0000-0000-00005A010000}"/>
    <cellStyle name="40% - akcent 4 5 3 2" xfId="893" xr:uid="{00000000-0005-0000-0000-00005B010000}"/>
    <cellStyle name="40% - akcent 4 5 4" xfId="1015" xr:uid="{00000000-0005-0000-0000-00005C010000}"/>
    <cellStyle name="40% - akcent 4 5 5" xfId="785" xr:uid="{00000000-0005-0000-0000-00005D010000}"/>
    <cellStyle name="40% - akcent 4 6" xfId="724" xr:uid="{00000000-0005-0000-0000-00005E010000}"/>
    <cellStyle name="40% - akcent 5 2" xfId="113" xr:uid="{00000000-0005-0000-0000-000060010000}"/>
    <cellStyle name="40% - akcent 5 2 2" xfId="529" xr:uid="{00000000-0005-0000-0000-000061010000}"/>
    <cellStyle name="40% - akcent 5 2 3" xfId="429" xr:uid="{00000000-0005-0000-0000-000062010000}"/>
    <cellStyle name="40% - akcent 5 3" xfId="258" xr:uid="{00000000-0005-0000-0000-000063010000}"/>
    <cellStyle name="40% - akcent 5 3 2" xfId="579" xr:uid="{00000000-0005-0000-0000-000064010000}"/>
    <cellStyle name="40% - akcent 5 3 2 2" xfId="680" xr:uid="{00000000-0005-0000-0000-000065010000}"/>
    <cellStyle name="40% - akcent 5 3 2 2 2" xfId="932" xr:uid="{00000000-0005-0000-0000-000066010000}"/>
    <cellStyle name="40% - akcent 5 3 2 3" xfId="1051" xr:uid="{00000000-0005-0000-0000-000067010000}"/>
    <cellStyle name="40% - akcent 5 3 2 4" xfId="819" xr:uid="{00000000-0005-0000-0000-000068010000}"/>
    <cellStyle name="40% - akcent 5 3 3" xfId="626" xr:uid="{00000000-0005-0000-0000-000069010000}"/>
    <cellStyle name="40% - akcent 5 3 3 2" xfId="875" xr:uid="{00000000-0005-0000-0000-00006A010000}"/>
    <cellStyle name="40% - akcent 5 3 4" xfId="997" xr:uid="{00000000-0005-0000-0000-00006B010000}"/>
    <cellStyle name="40% - akcent 5 3 5" xfId="768" xr:uid="{00000000-0005-0000-0000-00006C010000}"/>
    <cellStyle name="40% - akcent 5 4" xfId="239" xr:uid="{00000000-0005-0000-0000-00006D010000}"/>
    <cellStyle name="40% - akcent 5 4 2" xfId="565" xr:uid="{00000000-0005-0000-0000-00006E010000}"/>
    <cellStyle name="40% - akcent 5 4 2 2" xfId="664" xr:uid="{00000000-0005-0000-0000-00006F010000}"/>
    <cellStyle name="40% - akcent 5 4 2 2 2" xfId="916" xr:uid="{00000000-0005-0000-0000-000070010000}"/>
    <cellStyle name="40% - akcent 5 4 2 3" xfId="1035" xr:uid="{00000000-0005-0000-0000-000071010000}"/>
    <cellStyle name="40% - akcent 5 4 2 4" xfId="803" xr:uid="{00000000-0005-0000-0000-000072010000}"/>
    <cellStyle name="40% - akcent 5 4 3" xfId="610" xr:uid="{00000000-0005-0000-0000-000073010000}"/>
    <cellStyle name="40% - akcent 5 4 3 2" xfId="857" xr:uid="{00000000-0005-0000-0000-000074010000}"/>
    <cellStyle name="40% - akcent 5 4 4" xfId="981" xr:uid="{00000000-0005-0000-0000-000075010000}"/>
    <cellStyle name="40% - akcent 5 4 5" xfId="752" xr:uid="{00000000-0005-0000-0000-000076010000}"/>
    <cellStyle name="40% - akcent 5 5" xfId="549" xr:uid="{00000000-0005-0000-0000-000077010000}"/>
    <cellStyle name="40% - akcent 5 5 2" xfId="594" xr:uid="{00000000-0005-0000-0000-000078010000}"/>
    <cellStyle name="40% - akcent 5 5 2 2" xfId="699" xr:uid="{00000000-0005-0000-0000-000079010000}"/>
    <cellStyle name="40% - akcent 5 5 2 2 2" xfId="952" xr:uid="{00000000-0005-0000-0000-00007A010000}"/>
    <cellStyle name="40% - akcent 5 5 2 3" xfId="1070" xr:uid="{00000000-0005-0000-0000-00007B010000}"/>
    <cellStyle name="40% - akcent 5 5 2 4" xfId="839" xr:uid="{00000000-0005-0000-0000-00007C010000}"/>
    <cellStyle name="40% - akcent 5 5 3" xfId="643" xr:uid="{00000000-0005-0000-0000-00007D010000}"/>
    <cellStyle name="40% - akcent 5 5 3 2" xfId="895" xr:uid="{00000000-0005-0000-0000-00007E010000}"/>
    <cellStyle name="40% - akcent 5 5 4" xfId="1017" xr:uid="{00000000-0005-0000-0000-00007F010000}"/>
    <cellStyle name="40% - akcent 5 5 5" xfId="787" xr:uid="{00000000-0005-0000-0000-000080010000}"/>
    <cellStyle name="40% - akcent 5 6" xfId="726" xr:uid="{00000000-0005-0000-0000-000081010000}"/>
    <cellStyle name="40% - akcent 6 2" xfId="114" xr:uid="{00000000-0005-0000-0000-000083010000}"/>
    <cellStyle name="40% - akcent 6 2 2" xfId="455" xr:uid="{00000000-0005-0000-0000-000084010000}"/>
    <cellStyle name="40% - akcent 6 2 3" xfId="433" xr:uid="{00000000-0005-0000-0000-000085010000}"/>
    <cellStyle name="40% - akcent 6 3" xfId="260" xr:uid="{00000000-0005-0000-0000-000086010000}"/>
    <cellStyle name="40% - akcent 6 3 2" xfId="581" xr:uid="{00000000-0005-0000-0000-000087010000}"/>
    <cellStyle name="40% - akcent 6 3 2 2" xfId="682" xr:uid="{00000000-0005-0000-0000-000088010000}"/>
    <cellStyle name="40% - akcent 6 3 2 2 2" xfId="934" xr:uid="{00000000-0005-0000-0000-000089010000}"/>
    <cellStyle name="40% - akcent 6 3 2 3" xfId="1053" xr:uid="{00000000-0005-0000-0000-00008A010000}"/>
    <cellStyle name="40% - akcent 6 3 2 4" xfId="821" xr:uid="{00000000-0005-0000-0000-00008B010000}"/>
    <cellStyle name="40% - akcent 6 3 3" xfId="628" xr:uid="{00000000-0005-0000-0000-00008C010000}"/>
    <cellStyle name="40% - akcent 6 3 3 2" xfId="877" xr:uid="{00000000-0005-0000-0000-00008D010000}"/>
    <cellStyle name="40% - akcent 6 3 4" xfId="999" xr:uid="{00000000-0005-0000-0000-00008E010000}"/>
    <cellStyle name="40% - akcent 6 3 5" xfId="770" xr:uid="{00000000-0005-0000-0000-00008F010000}"/>
    <cellStyle name="40% - akcent 6 4" xfId="243" xr:uid="{00000000-0005-0000-0000-000090010000}"/>
    <cellStyle name="40% - akcent 6 4 2" xfId="567" xr:uid="{00000000-0005-0000-0000-000091010000}"/>
    <cellStyle name="40% - akcent 6 4 2 2" xfId="666" xr:uid="{00000000-0005-0000-0000-000092010000}"/>
    <cellStyle name="40% - akcent 6 4 2 2 2" xfId="918" xr:uid="{00000000-0005-0000-0000-000093010000}"/>
    <cellStyle name="40% - akcent 6 4 2 3" xfId="1037" xr:uid="{00000000-0005-0000-0000-000094010000}"/>
    <cellStyle name="40% - akcent 6 4 2 4" xfId="805" xr:uid="{00000000-0005-0000-0000-000095010000}"/>
    <cellStyle name="40% - akcent 6 4 3" xfId="613" xr:uid="{00000000-0005-0000-0000-000096010000}"/>
    <cellStyle name="40% - akcent 6 4 3 2" xfId="859" xr:uid="{00000000-0005-0000-0000-000097010000}"/>
    <cellStyle name="40% - akcent 6 4 4" xfId="983" xr:uid="{00000000-0005-0000-0000-000098010000}"/>
    <cellStyle name="40% - akcent 6 4 5" xfId="754" xr:uid="{00000000-0005-0000-0000-000099010000}"/>
    <cellStyle name="40% - akcent 6 5" xfId="551" xr:uid="{00000000-0005-0000-0000-00009A010000}"/>
    <cellStyle name="40% - akcent 6 5 2" xfId="596" xr:uid="{00000000-0005-0000-0000-00009B010000}"/>
    <cellStyle name="40% - akcent 6 5 2 2" xfId="701" xr:uid="{00000000-0005-0000-0000-00009C010000}"/>
    <cellStyle name="40% - akcent 6 5 2 2 2" xfId="954" xr:uid="{00000000-0005-0000-0000-00009D010000}"/>
    <cellStyle name="40% - akcent 6 5 2 3" xfId="1072" xr:uid="{00000000-0005-0000-0000-00009E010000}"/>
    <cellStyle name="40% - akcent 6 5 2 4" xfId="841" xr:uid="{00000000-0005-0000-0000-00009F010000}"/>
    <cellStyle name="40% - akcent 6 5 3" xfId="645" xr:uid="{00000000-0005-0000-0000-0000A0010000}"/>
    <cellStyle name="40% - akcent 6 5 3 2" xfId="897" xr:uid="{00000000-0005-0000-0000-0000A1010000}"/>
    <cellStyle name="40% - akcent 6 5 4" xfId="1019" xr:uid="{00000000-0005-0000-0000-0000A2010000}"/>
    <cellStyle name="40% - akcent 6 5 5" xfId="789" xr:uid="{00000000-0005-0000-0000-0000A3010000}"/>
    <cellStyle name="40% - akcent 6 6" xfId="728" xr:uid="{00000000-0005-0000-0000-0000A4010000}"/>
    <cellStyle name="60% - Accent1" xfId="351" builtinId="32" customBuiltin="1"/>
    <cellStyle name="60% - Accent2" xfId="355" builtinId="36" customBuiltin="1"/>
    <cellStyle name="60% - Accent3" xfId="359" builtinId="40" customBuiltin="1"/>
    <cellStyle name="60% - Accent4" xfId="363" builtinId="44" customBuiltin="1"/>
    <cellStyle name="60% - Accent5" xfId="367" builtinId="48" customBuiltin="1"/>
    <cellStyle name="60% - Accent6" xfId="371" builtinId="52" customBuiltin="1"/>
    <cellStyle name="60% - akcent 1 2" xfId="115" xr:uid="{00000000-0005-0000-0000-0000A6010000}"/>
    <cellStyle name="60% - akcent 1 2 2" xfId="457" xr:uid="{00000000-0005-0000-0000-0000A7010000}"/>
    <cellStyle name="60% - akcent 1 2 3" xfId="414" xr:uid="{00000000-0005-0000-0000-0000A8010000}"/>
    <cellStyle name="60% - akcent 1 3" xfId="224" xr:uid="{00000000-0005-0000-0000-0000A9010000}"/>
    <cellStyle name="60% - akcent 2 2" xfId="116" xr:uid="{00000000-0005-0000-0000-0000AB010000}"/>
    <cellStyle name="60% - akcent 2 2 2" xfId="527" xr:uid="{00000000-0005-0000-0000-0000AC010000}"/>
    <cellStyle name="60% - akcent 2 2 3" xfId="418" xr:uid="{00000000-0005-0000-0000-0000AD010000}"/>
    <cellStyle name="60% - akcent 2 3" xfId="228" xr:uid="{00000000-0005-0000-0000-0000AE010000}"/>
    <cellStyle name="60% - akcent 3 2" xfId="117" xr:uid="{00000000-0005-0000-0000-0000B0010000}"/>
    <cellStyle name="60% - akcent 3 2 2" xfId="501" xr:uid="{00000000-0005-0000-0000-0000B1010000}"/>
    <cellStyle name="60% - akcent 3 2 3" xfId="422" xr:uid="{00000000-0005-0000-0000-0000B2010000}"/>
    <cellStyle name="60% - akcent 3 3" xfId="232" xr:uid="{00000000-0005-0000-0000-0000B3010000}"/>
    <cellStyle name="60% - akcent 4 2" xfId="118" xr:uid="{00000000-0005-0000-0000-0000B5010000}"/>
    <cellStyle name="60% - akcent 4 2 2" xfId="499" xr:uid="{00000000-0005-0000-0000-0000B6010000}"/>
    <cellStyle name="60% - akcent 4 2 3" xfId="426" xr:uid="{00000000-0005-0000-0000-0000B7010000}"/>
    <cellStyle name="60% - akcent 4 3" xfId="236" xr:uid="{00000000-0005-0000-0000-0000B8010000}"/>
    <cellStyle name="60% - akcent 5 2" xfId="119" xr:uid="{00000000-0005-0000-0000-0000BA010000}"/>
    <cellStyle name="60% - akcent 5 2 2" xfId="498" xr:uid="{00000000-0005-0000-0000-0000BB010000}"/>
    <cellStyle name="60% - akcent 5 2 3" xfId="430" xr:uid="{00000000-0005-0000-0000-0000BC010000}"/>
    <cellStyle name="60% - akcent 5 3" xfId="240" xr:uid="{00000000-0005-0000-0000-0000BD010000}"/>
    <cellStyle name="60% - akcent 6 2" xfId="120" xr:uid="{00000000-0005-0000-0000-0000BF010000}"/>
    <cellStyle name="60% - akcent 6 2 2" xfId="497" xr:uid="{00000000-0005-0000-0000-0000C0010000}"/>
    <cellStyle name="60% - akcent 6 2 3" xfId="434" xr:uid="{00000000-0005-0000-0000-0000C1010000}"/>
    <cellStyle name="60% - akcent 6 3" xfId="244" xr:uid="{00000000-0005-0000-0000-0000C2010000}"/>
    <cellStyle name="Accent1" xfId="348" builtinId="29" customBuiltin="1"/>
    <cellStyle name="Accent2" xfId="352" builtinId="33" customBuiltin="1"/>
    <cellStyle name="Accent3" xfId="356" builtinId="37" customBuiltin="1"/>
    <cellStyle name="Accent4" xfId="360" builtinId="41" customBuiltin="1"/>
    <cellStyle name="Accent5" xfId="364" builtinId="45" customBuiltin="1"/>
    <cellStyle name="Accent6" xfId="368" builtinId="49" customBuiltin="1"/>
    <cellStyle name="AFE" xfId="3206" xr:uid="{00000000-0005-0000-0000-0000C3010000}"/>
    <cellStyle name="Akcent 1 2" xfId="121" xr:uid="{00000000-0005-0000-0000-0000C5010000}"/>
    <cellStyle name="Akcent 1 2 2" xfId="496" xr:uid="{00000000-0005-0000-0000-0000C6010000}"/>
    <cellStyle name="Akcent 1 2 3" xfId="471" xr:uid="{00000000-0005-0000-0000-0000C7010000}"/>
    <cellStyle name="Akcent 1 2 4" xfId="383" xr:uid="{00000000-0005-0000-0000-0000C8010000}"/>
    <cellStyle name="Akcent 1 3" xfId="221" xr:uid="{00000000-0005-0000-0000-0000C9010000}"/>
    <cellStyle name="Akcent 1 3 2" xfId="449" xr:uid="{00000000-0005-0000-0000-0000CA010000}"/>
    <cellStyle name="Akcent 1 3 3" xfId="411" xr:uid="{00000000-0005-0000-0000-0000CB010000}"/>
    <cellStyle name="Akcent 1 4" xfId="318" xr:uid="{00000000-0005-0000-0000-0000CC010000}"/>
    <cellStyle name="Akcent 2 2" xfId="122" xr:uid="{00000000-0005-0000-0000-0000CE010000}"/>
    <cellStyle name="Akcent 2 2 2" xfId="505" xr:uid="{00000000-0005-0000-0000-0000CF010000}"/>
    <cellStyle name="Akcent 2 2 3" xfId="472" xr:uid="{00000000-0005-0000-0000-0000D0010000}"/>
    <cellStyle name="Akcent 2 2 4" xfId="384" xr:uid="{00000000-0005-0000-0000-0000D1010000}"/>
    <cellStyle name="Akcent 2 3" xfId="225" xr:uid="{00000000-0005-0000-0000-0000D2010000}"/>
    <cellStyle name="Akcent 2 3 2" xfId="450" xr:uid="{00000000-0005-0000-0000-0000D3010000}"/>
    <cellStyle name="Akcent 2 3 3" xfId="415" xr:uid="{00000000-0005-0000-0000-0000D4010000}"/>
    <cellStyle name="Akcent 2 4" xfId="319" xr:uid="{00000000-0005-0000-0000-0000D5010000}"/>
    <cellStyle name="Akcent 3 2" xfId="123" xr:uid="{00000000-0005-0000-0000-0000D7010000}"/>
    <cellStyle name="Akcent 3 2 2" xfId="504" xr:uid="{00000000-0005-0000-0000-0000D8010000}"/>
    <cellStyle name="Akcent 3 2 3" xfId="473" xr:uid="{00000000-0005-0000-0000-0000D9010000}"/>
    <cellStyle name="Akcent 3 2 4" xfId="385" xr:uid="{00000000-0005-0000-0000-0000DA010000}"/>
    <cellStyle name="Akcent 3 3" xfId="229" xr:uid="{00000000-0005-0000-0000-0000DB010000}"/>
    <cellStyle name="Akcent 3 3 2" xfId="451" xr:uid="{00000000-0005-0000-0000-0000DC010000}"/>
    <cellStyle name="Akcent 3 3 3" xfId="419" xr:uid="{00000000-0005-0000-0000-0000DD010000}"/>
    <cellStyle name="Akcent 3 4" xfId="320" xr:uid="{00000000-0005-0000-0000-0000DE010000}"/>
    <cellStyle name="Akcent 4 2" xfId="124" xr:uid="{00000000-0005-0000-0000-0000E0010000}"/>
    <cellStyle name="Akcent 4 2 2" xfId="493" xr:uid="{00000000-0005-0000-0000-0000E1010000}"/>
    <cellStyle name="Akcent 4 2 3" xfId="474" xr:uid="{00000000-0005-0000-0000-0000E2010000}"/>
    <cellStyle name="Akcent 4 2 4" xfId="386" xr:uid="{00000000-0005-0000-0000-0000E3010000}"/>
    <cellStyle name="Akcent 4 3" xfId="233" xr:uid="{00000000-0005-0000-0000-0000E4010000}"/>
    <cellStyle name="Akcent 4 3 2" xfId="452" xr:uid="{00000000-0005-0000-0000-0000E5010000}"/>
    <cellStyle name="Akcent 4 3 3" xfId="423" xr:uid="{00000000-0005-0000-0000-0000E6010000}"/>
    <cellStyle name="Akcent 4 4" xfId="321" xr:uid="{00000000-0005-0000-0000-0000E7010000}"/>
    <cellStyle name="Akcent 5 2" xfId="125" xr:uid="{00000000-0005-0000-0000-0000E9010000}"/>
    <cellStyle name="Akcent 5 2 2" xfId="487" xr:uid="{00000000-0005-0000-0000-0000EA010000}"/>
    <cellStyle name="Akcent 5 2 3" xfId="475" xr:uid="{00000000-0005-0000-0000-0000EB010000}"/>
    <cellStyle name="Akcent 5 2 4" xfId="387" xr:uid="{00000000-0005-0000-0000-0000EC010000}"/>
    <cellStyle name="Akcent 5 3" xfId="237" xr:uid="{00000000-0005-0000-0000-0000ED010000}"/>
    <cellStyle name="Akcent 5 3 2" xfId="453" xr:uid="{00000000-0005-0000-0000-0000EE010000}"/>
    <cellStyle name="Akcent 5 3 3" xfId="427" xr:uid="{00000000-0005-0000-0000-0000EF010000}"/>
    <cellStyle name="Akcent 5 4" xfId="322" xr:uid="{00000000-0005-0000-0000-0000F0010000}"/>
    <cellStyle name="Akcent 6 2" xfId="126" xr:uid="{00000000-0005-0000-0000-0000F2010000}"/>
    <cellStyle name="Akcent 6 2 2" xfId="486" xr:uid="{00000000-0005-0000-0000-0000F3010000}"/>
    <cellStyle name="Akcent 6 2 3" xfId="476" xr:uid="{00000000-0005-0000-0000-0000F4010000}"/>
    <cellStyle name="Akcent 6 2 4" xfId="388" xr:uid="{00000000-0005-0000-0000-0000F5010000}"/>
    <cellStyle name="Akcent 6 3" xfId="241" xr:uid="{00000000-0005-0000-0000-0000F6010000}"/>
    <cellStyle name="Akcent 6 3 2" xfId="454" xr:uid="{00000000-0005-0000-0000-0000F7010000}"/>
    <cellStyle name="Akcent 6 3 3" xfId="431" xr:uid="{00000000-0005-0000-0000-0000F8010000}"/>
    <cellStyle name="Akcent 6 4" xfId="323" xr:uid="{00000000-0005-0000-0000-0000F9010000}"/>
    <cellStyle name="Bad" xfId="338" builtinId="27" customBuiltin="1"/>
    <cellStyle name="Calculation" xfId="342" builtinId="22" customBuiltin="1"/>
    <cellStyle name="Check Cell" xfId="344" builtinId="23" customBuiltin="1"/>
    <cellStyle name="Comma" xfId="3207" builtinId="3"/>
    <cellStyle name="Comma0" xfId="324" xr:uid="{00000000-0005-0000-0000-0000FB010000}"/>
    <cellStyle name="Currency" xfId="1080" builtinId="4"/>
    <cellStyle name="Dane wejściowe 2" xfId="127" xr:uid="{00000000-0005-0000-0000-0000FD010000}"/>
    <cellStyle name="Dane wejściowe 2 2" xfId="528" xr:uid="{00000000-0005-0000-0000-0000FE010000}"/>
    <cellStyle name="Dane wejściowe 2 3" xfId="463" xr:uid="{00000000-0005-0000-0000-0000FF010000}"/>
    <cellStyle name="Dane wejściowe 2 4" xfId="389" xr:uid="{00000000-0005-0000-0000-000000020000}"/>
    <cellStyle name="Dane wejściowe 3" xfId="213" xr:uid="{00000000-0005-0000-0000-000001020000}"/>
    <cellStyle name="Dane wejściowe 3 2" xfId="441" xr:uid="{00000000-0005-0000-0000-000002020000}"/>
    <cellStyle name="Dane wejściowe 3 3" xfId="403" xr:uid="{00000000-0005-0000-0000-000003020000}"/>
    <cellStyle name="Dane wejściowe 4" xfId="325" xr:uid="{00000000-0005-0000-0000-000004020000}"/>
    <cellStyle name="Dane wyjściowe 2" xfId="128" xr:uid="{00000000-0005-0000-0000-000006020000}"/>
    <cellStyle name="Dane wyjściowe 2 2" xfId="485" xr:uid="{00000000-0005-0000-0000-000007020000}"/>
    <cellStyle name="Dane wyjściowe 2 3" xfId="376" xr:uid="{00000000-0005-0000-0000-000008020000}"/>
    <cellStyle name="Dane wyjściowe 3" xfId="214" xr:uid="{00000000-0005-0000-0000-000009020000}"/>
    <cellStyle name="Dane wyjściowe 3 2" xfId="442" xr:uid="{00000000-0005-0000-0000-00000A020000}"/>
    <cellStyle name="Dane wyjściowe 3 3" xfId="390" xr:uid="{00000000-0005-0000-0000-00000B020000}"/>
    <cellStyle name="Dane wyjściowe 4" xfId="326" xr:uid="{00000000-0005-0000-0000-00000C020000}"/>
    <cellStyle name="Dobre 2" xfId="129" xr:uid="{00000000-0005-0000-0000-00000D020000}"/>
    <cellStyle name="Dobre 2 2" xfId="522" xr:uid="{00000000-0005-0000-0000-00000E020000}"/>
    <cellStyle name="Dobre 2 3" xfId="400" xr:uid="{00000000-0005-0000-0000-00000F020000}"/>
    <cellStyle name="Dobre 3" xfId="210" xr:uid="{00000000-0005-0000-0000-000010020000}"/>
    <cellStyle name="Dziesiętny 10" xfId="1093" xr:uid="{00000000-0005-0000-0000-000012020000}"/>
    <cellStyle name="Dziesiętny 11" xfId="3186" xr:uid="{00000000-0005-0000-0000-000013020000}"/>
    <cellStyle name="Dziesiętny 12" xfId="3209" xr:uid="{D464348E-BFDD-47C5-A73E-26F5AFDF9F9D}"/>
    <cellStyle name="Dziesiętny 13" xfId="3210" xr:uid="{16043479-FC7F-4CBF-B5DD-00681D5352CE}"/>
    <cellStyle name="Dziesiętny 2" xfId="13" xr:uid="{00000000-0005-0000-0000-000014020000}"/>
    <cellStyle name="Dziesiętny 2 2" xfId="147" xr:uid="{00000000-0005-0000-0000-000015020000}"/>
    <cellStyle name="Dziesiętny 2 2 2" xfId="281" xr:uid="{00000000-0005-0000-0000-000016020000}"/>
    <cellStyle name="Dziesiętny 2 2 2 2" xfId="516" xr:uid="{00000000-0005-0000-0000-000017020000}"/>
    <cellStyle name="Dziesiętny 2 2 3" xfId="478" xr:uid="{00000000-0005-0000-0000-000018020000}"/>
    <cellStyle name="Dziesiętny 2 2 4" xfId="707" xr:uid="{00000000-0005-0000-0000-000019020000}"/>
    <cellStyle name="Dziesiętny 2 2 5" xfId="382" xr:uid="{00000000-0005-0000-0000-00001A020000}"/>
    <cellStyle name="Dziesiętny 2 2 6" xfId="3187" xr:uid="{00000000-0005-0000-0000-00001B020000}"/>
    <cellStyle name="Dziesiętny 2 3" xfId="151" xr:uid="{00000000-0005-0000-0000-00001C020000}"/>
    <cellStyle name="Dziesiętny 2 3 2" xfId="3188" xr:uid="{00000000-0005-0000-0000-00001D020000}"/>
    <cellStyle name="Dziesiętny 2 4" xfId="202" xr:uid="{00000000-0005-0000-0000-00001E020000}"/>
    <cellStyle name="Dziesiętny 2 5" xfId="265" xr:uid="{00000000-0005-0000-0000-00001F020000}"/>
    <cellStyle name="Dziesiętny 2 6" xfId="101" xr:uid="{00000000-0005-0000-0000-000020020000}"/>
    <cellStyle name="Dziesiętny 2 6 2" xfId="1533" xr:uid="{00000000-0005-0000-0000-000021020000}"/>
    <cellStyle name="Dziesiętny 2 7" xfId="3180" xr:uid="{00000000-0005-0000-0000-000022020000}"/>
    <cellStyle name="Dziesiętny 3" xfId="16" xr:uid="{00000000-0005-0000-0000-000023020000}"/>
    <cellStyle name="Dziesiętny 3 2" xfId="19" xr:uid="{00000000-0005-0000-0000-000024020000}"/>
    <cellStyle name="Dziesiętny 3 2 2" xfId="34" xr:uid="{00000000-0005-0000-0000-000025020000}"/>
    <cellStyle name="Dziesiętny 3 2 2 2" xfId="56" xr:uid="{00000000-0005-0000-0000-000026020000}"/>
    <cellStyle name="Dziesiętny 3 2 2 2 2" xfId="95" xr:uid="{00000000-0005-0000-0000-000027020000}"/>
    <cellStyle name="Dziesiętny 3 2 2 2 2 2" xfId="1094" xr:uid="{00000000-0005-0000-0000-000028020000}"/>
    <cellStyle name="Dziesiętny 3 2 2 2 2 2 2" xfId="1548" xr:uid="{00000000-0005-0000-0000-000029020000}"/>
    <cellStyle name="Dziesiętny 3 2 2 2 2 2 2 2" xfId="2663" xr:uid="{00000000-0005-0000-0000-00002A020000}"/>
    <cellStyle name="Dziesiętny 3 2 2 2 2 2 3" xfId="2104" xr:uid="{00000000-0005-0000-0000-00002B020000}"/>
    <cellStyle name="Dziesiętny 3 2 2 2 2 3" xfId="1527" xr:uid="{00000000-0005-0000-0000-00002C020000}"/>
    <cellStyle name="Dziesiętny 3 2 2 2 2 3 2" xfId="2649" xr:uid="{00000000-0005-0000-0000-00002D020000}"/>
    <cellStyle name="Dziesiętny 3 2 2 2 2 4" xfId="2091" xr:uid="{00000000-0005-0000-0000-00002E020000}"/>
    <cellStyle name="Dziesiętny 3 2 2 2 3" xfId="1095" xr:uid="{00000000-0005-0000-0000-00002F020000}"/>
    <cellStyle name="Dziesiętny 3 2 2 2 3 2" xfId="1549" xr:uid="{00000000-0005-0000-0000-000030020000}"/>
    <cellStyle name="Dziesiętny 3 2 2 2 3 2 2" xfId="2664" xr:uid="{00000000-0005-0000-0000-000031020000}"/>
    <cellStyle name="Dziesiętny 3 2 2 2 3 3" xfId="2105" xr:uid="{00000000-0005-0000-0000-000032020000}"/>
    <cellStyle name="Dziesiętny 3 2 2 2 4" xfId="1489" xr:uid="{00000000-0005-0000-0000-000033020000}"/>
    <cellStyle name="Dziesiętny 3 2 2 2 4 2" xfId="2610" xr:uid="{00000000-0005-0000-0000-000034020000}"/>
    <cellStyle name="Dziesiętny 3 2 2 2 5" xfId="2052" xr:uid="{00000000-0005-0000-0000-000035020000}"/>
    <cellStyle name="Dziesiętny 3 2 2 3" xfId="76" xr:uid="{00000000-0005-0000-0000-000036020000}"/>
    <cellStyle name="Dziesiętny 3 2 2 3 2" xfId="1096" xr:uid="{00000000-0005-0000-0000-000037020000}"/>
    <cellStyle name="Dziesiętny 3 2 2 3 2 2" xfId="1550" xr:uid="{00000000-0005-0000-0000-000038020000}"/>
    <cellStyle name="Dziesiętny 3 2 2 3 2 2 2" xfId="2665" xr:uid="{00000000-0005-0000-0000-000039020000}"/>
    <cellStyle name="Dziesiętny 3 2 2 3 2 3" xfId="2106" xr:uid="{00000000-0005-0000-0000-00003A020000}"/>
    <cellStyle name="Dziesiętny 3 2 2 3 3" xfId="1508" xr:uid="{00000000-0005-0000-0000-00003B020000}"/>
    <cellStyle name="Dziesiętny 3 2 2 3 3 2" xfId="2630" xr:uid="{00000000-0005-0000-0000-00003C020000}"/>
    <cellStyle name="Dziesiętny 3 2 2 3 4" xfId="2072" xr:uid="{00000000-0005-0000-0000-00003D020000}"/>
    <cellStyle name="Dziesiętny 3 2 2 4" xfId="1097" xr:uid="{00000000-0005-0000-0000-00003E020000}"/>
    <cellStyle name="Dziesiętny 3 2 2 4 2" xfId="1551" xr:uid="{00000000-0005-0000-0000-00003F020000}"/>
    <cellStyle name="Dziesiętny 3 2 2 4 2 2" xfId="2666" xr:uid="{00000000-0005-0000-0000-000040020000}"/>
    <cellStyle name="Dziesiętny 3 2 2 4 3" xfId="2107" xr:uid="{00000000-0005-0000-0000-000041020000}"/>
    <cellStyle name="Dziesiętny 3 2 2 5" xfId="1471" xr:uid="{00000000-0005-0000-0000-000042020000}"/>
    <cellStyle name="Dziesiętny 3 2 2 5 2" xfId="2591" xr:uid="{00000000-0005-0000-0000-000043020000}"/>
    <cellStyle name="Dziesiętny 3 2 2 6" xfId="2033" xr:uid="{00000000-0005-0000-0000-000044020000}"/>
    <cellStyle name="Dziesiętny 3 2 3" xfId="28" xr:uid="{00000000-0005-0000-0000-000045020000}"/>
    <cellStyle name="Dziesiętny 3 2 3 2" xfId="50" xr:uid="{00000000-0005-0000-0000-000046020000}"/>
    <cellStyle name="Dziesiętny 3 2 3 2 2" xfId="89" xr:uid="{00000000-0005-0000-0000-000047020000}"/>
    <cellStyle name="Dziesiętny 3 2 3 2 2 2" xfId="1098" xr:uid="{00000000-0005-0000-0000-000048020000}"/>
    <cellStyle name="Dziesiętny 3 2 3 2 2 2 2" xfId="1552" xr:uid="{00000000-0005-0000-0000-000049020000}"/>
    <cellStyle name="Dziesiętny 3 2 3 2 2 2 2 2" xfId="2667" xr:uid="{00000000-0005-0000-0000-00004A020000}"/>
    <cellStyle name="Dziesiętny 3 2 3 2 2 2 3" xfId="2108" xr:uid="{00000000-0005-0000-0000-00004B020000}"/>
    <cellStyle name="Dziesiętny 3 2 3 2 2 3" xfId="1521" xr:uid="{00000000-0005-0000-0000-00004C020000}"/>
    <cellStyle name="Dziesiętny 3 2 3 2 2 3 2" xfId="2643" xr:uid="{00000000-0005-0000-0000-00004D020000}"/>
    <cellStyle name="Dziesiętny 3 2 3 2 2 4" xfId="2085" xr:uid="{00000000-0005-0000-0000-00004E020000}"/>
    <cellStyle name="Dziesiętny 3 2 3 2 3" xfId="1099" xr:uid="{00000000-0005-0000-0000-00004F020000}"/>
    <cellStyle name="Dziesiętny 3 2 3 2 3 2" xfId="1553" xr:uid="{00000000-0005-0000-0000-000050020000}"/>
    <cellStyle name="Dziesiętny 3 2 3 2 3 2 2" xfId="2668" xr:uid="{00000000-0005-0000-0000-000051020000}"/>
    <cellStyle name="Dziesiętny 3 2 3 2 3 3" xfId="2109" xr:uid="{00000000-0005-0000-0000-000052020000}"/>
    <cellStyle name="Dziesiętny 3 2 3 2 4" xfId="1484" xr:uid="{00000000-0005-0000-0000-000053020000}"/>
    <cellStyle name="Dziesiętny 3 2 3 2 4 2" xfId="2604" xr:uid="{00000000-0005-0000-0000-000054020000}"/>
    <cellStyle name="Dziesiętny 3 2 3 2 5" xfId="2046" xr:uid="{00000000-0005-0000-0000-000055020000}"/>
    <cellStyle name="Dziesiętny 3 2 3 3" xfId="70" xr:uid="{00000000-0005-0000-0000-000056020000}"/>
    <cellStyle name="Dziesiętny 3 2 3 3 2" xfId="1100" xr:uid="{00000000-0005-0000-0000-000057020000}"/>
    <cellStyle name="Dziesiętny 3 2 3 3 2 2" xfId="1554" xr:uid="{00000000-0005-0000-0000-000058020000}"/>
    <cellStyle name="Dziesiętny 3 2 3 3 2 2 2" xfId="2669" xr:uid="{00000000-0005-0000-0000-000059020000}"/>
    <cellStyle name="Dziesiętny 3 2 3 3 2 3" xfId="2110" xr:uid="{00000000-0005-0000-0000-00005A020000}"/>
    <cellStyle name="Dziesiętny 3 2 3 3 3" xfId="1503" xr:uid="{00000000-0005-0000-0000-00005B020000}"/>
    <cellStyle name="Dziesiętny 3 2 3 3 3 2" xfId="2624" xr:uid="{00000000-0005-0000-0000-00005C020000}"/>
    <cellStyle name="Dziesiętny 3 2 3 3 4" xfId="2066" xr:uid="{00000000-0005-0000-0000-00005D020000}"/>
    <cellStyle name="Dziesiętny 3 2 3 4" xfId="1101" xr:uid="{00000000-0005-0000-0000-00005E020000}"/>
    <cellStyle name="Dziesiętny 3 2 3 4 2" xfId="1555" xr:uid="{00000000-0005-0000-0000-00005F020000}"/>
    <cellStyle name="Dziesiętny 3 2 3 4 2 2" xfId="2670" xr:uid="{00000000-0005-0000-0000-000060020000}"/>
    <cellStyle name="Dziesiętny 3 2 3 4 3" xfId="2111" xr:uid="{00000000-0005-0000-0000-000061020000}"/>
    <cellStyle name="Dziesiętny 3 2 3 5" xfId="1467" xr:uid="{00000000-0005-0000-0000-000062020000}"/>
    <cellStyle name="Dziesiętny 3 2 3 5 2" xfId="2586" xr:uid="{00000000-0005-0000-0000-000063020000}"/>
    <cellStyle name="Dziesiętny 3 2 3 6" xfId="2028" xr:uid="{00000000-0005-0000-0000-000064020000}"/>
    <cellStyle name="Dziesiętny 3 2 4" xfId="44" xr:uid="{00000000-0005-0000-0000-000065020000}"/>
    <cellStyle name="Dziesiętny 3 2 4 2" xfId="83" xr:uid="{00000000-0005-0000-0000-000066020000}"/>
    <cellStyle name="Dziesiętny 3 2 4 2 2" xfId="1102" xr:uid="{00000000-0005-0000-0000-000067020000}"/>
    <cellStyle name="Dziesiętny 3 2 4 2 2 2" xfId="1556" xr:uid="{00000000-0005-0000-0000-000068020000}"/>
    <cellStyle name="Dziesiętny 3 2 4 2 2 2 2" xfId="2671" xr:uid="{00000000-0005-0000-0000-000069020000}"/>
    <cellStyle name="Dziesiętny 3 2 4 2 2 3" xfId="2112" xr:uid="{00000000-0005-0000-0000-00006A020000}"/>
    <cellStyle name="Dziesiętny 3 2 4 2 3" xfId="1515" xr:uid="{00000000-0005-0000-0000-00006B020000}"/>
    <cellStyle name="Dziesiętny 3 2 4 2 3 2" xfId="2637" xr:uid="{00000000-0005-0000-0000-00006C020000}"/>
    <cellStyle name="Dziesiętny 3 2 4 2 4" xfId="2079" xr:uid="{00000000-0005-0000-0000-00006D020000}"/>
    <cellStyle name="Dziesiętny 3 2 4 3" xfId="1103" xr:uid="{00000000-0005-0000-0000-00006E020000}"/>
    <cellStyle name="Dziesiętny 3 2 4 3 2" xfId="1557" xr:uid="{00000000-0005-0000-0000-00006F020000}"/>
    <cellStyle name="Dziesiętny 3 2 4 3 2 2" xfId="2672" xr:uid="{00000000-0005-0000-0000-000070020000}"/>
    <cellStyle name="Dziesiętny 3 2 4 3 3" xfId="2113" xr:uid="{00000000-0005-0000-0000-000071020000}"/>
    <cellStyle name="Dziesiętny 3 2 4 4" xfId="1478" xr:uid="{00000000-0005-0000-0000-000072020000}"/>
    <cellStyle name="Dziesiętny 3 2 4 4 2" xfId="2598" xr:uid="{00000000-0005-0000-0000-000073020000}"/>
    <cellStyle name="Dziesiętny 3 2 4 5" xfId="2040" xr:uid="{00000000-0005-0000-0000-000074020000}"/>
    <cellStyle name="Dziesiętny 3 2 5" xfId="64" xr:uid="{00000000-0005-0000-0000-000075020000}"/>
    <cellStyle name="Dziesiętny 3 2 5 2" xfId="1104" xr:uid="{00000000-0005-0000-0000-000076020000}"/>
    <cellStyle name="Dziesiętny 3 2 5 2 2" xfId="1558" xr:uid="{00000000-0005-0000-0000-000077020000}"/>
    <cellStyle name="Dziesiętny 3 2 5 2 2 2" xfId="2673" xr:uid="{00000000-0005-0000-0000-000078020000}"/>
    <cellStyle name="Dziesiętny 3 2 5 2 3" xfId="2114" xr:uid="{00000000-0005-0000-0000-000079020000}"/>
    <cellStyle name="Dziesiętny 3 2 5 3" xfId="1497" xr:uid="{00000000-0005-0000-0000-00007A020000}"/>
    <cellStyle name="Dziesiętny 3 2 5 3 2" xfId="2618" xr:uid="{00000000-0005-0000-0000-00007B020000}"/>
    <cellStyle name="Dziesiętny 3 2 5 4" xfId="2060" xr:uid="{00000000-0005-0000-0000-00007C020000}"/>
    <cellStyle name="Dziesiętny 3 2 6" xfId="1105" xr:uid="{00000000-0005-0000-0000-00007D020000}"/>
    <cellStyle name="Dziesiętny 3 2 6 2" xfId="1559" xr:uid="{00000000-0005-0000-0000-00007E020000}"/>
    <cellStyle name="Dziesiętny 3 2 6 2 2" xfId="2674" xr:uid="{00000000-0005-0000-0000-00007F020000}"/>
    <cellStyle name="Dziesiętny 3 2 6 3" xfId="2115" xr:uid="{00000000-0005-0000-0000-000080020000}"/>
    <cellStyle name="Dziesiętny 3 2 7" xfId="1461" xr:uid="{00000000-0005-0000-0000-000081020000}"/>
    <cellStyle name="Dziesiętny 3 2 7 2" xfId="2580" xr:uid="{00000000-0005-0000-0000-000082020000}"/>
    <cellStyle name="Dziesiętny 3 2 8" xfId="2022" xr:uid="{00000000-0005-0000-0000-000083020000}"/>
    <cellStyle name="Dziesiętny 3 3" xfId="31" xr:uid="{00000000-0005-0000-0000-000084020000}"/>
    <cellStyle name="Dziesiętny 3 3 2" xfId="53" xr:uid="{00000000-0005-0000-0000-000085020000}"/>
    <cellStyle name="Dziesiętny 3 3 2 2" xfId="92" xr:uid="{00000000-0005-0000-0000-000086020000}"/>
    <cellStyle name="Dziesiętny 3 3 2 2 2" xfId="1106" xr:uid="{00000000-0005-0000-0000-000087020000}"/>
    <cellStyle name="Dziesiętny 3 3 2 2 2 2" xfId="1560" xr:uid="{00000000-0005-0000-0000-000088020000}"/>
    <cellStyle name="Dziesiętny 3 3 2 2 2 2 2" xfId="2675" xr:uid="{00000000-0005-0000-0000-000089020000}"/>
    <cellStyle name="Dziesiętny 3 3 2 2 2 3" xfId="2116" xr:uid="{00000000-0005-0000-0000-00008A020000}"/>
    <cellStyle name="Dziesiętny 3 3 2 2 3" xfId="1524" xr:uid="{00000000-0005-0000-0000-00008B020000}"/>
    <cellStyle name="Dziesiętny 3 3 2 2 3 2" xfId="2646" xr:uid="{00000000-0005-0000-0000-00008C020000}"/>
    <cellStyle name="Dziesiętny 3 3 2 2 4" xfId="2088" xr:uid="{00000000-0005-0000-0000-00008D020000}"/>
    <cellStyle name="Dziesiętny 3 3 2 3" xfId="1107" xr:uid="{00000000-0005-0000-0000-00008E020000}"/>
    <cellStyle name="Dziesiętny 3 3 2 3 2" xfId="1561" xr:uid="{00000000-0005-0000-0000-00008F020000}"/>
    <cellStyle name="Dziesiętny 3 3 2 3 2 2" xfId="2676" xr:uid="{00000000-0005-0000-0000-000090020000}"/>
    <cellStyle name="Dziesiętny 3 3 2 3 3" xfId="2117" xr:uid="{00000000-0005-0000-0000-000091020000}"/>
    <cellStyle name="Dziesiętny 3 3 2 4" xfId="1486" xr:uid="{00000000-0005-0000-0000-000092020000}"/>
    <cellStyle name="Dziesiętny 3 3 2 4 2" xfId="2607" xr:uid="{00000000-0005-0000-0000-000093020000}"/>
    <cellStyle name="Dziesiętny 3 3 2 5" xfId="2049" xr:uid="{00000000-0005-0000-0000-000094020000}"/>
    <cellStyle name="Dziesiętny 3 3 3" xfId="73" xr:uid="{00000000-0005-0000-0000-000095020000}"/>
    <cellStyle name="Dziesiętny 3 3 3 2" xfId="1108" xr:uid="{00000000-0005-0000-0000-000096020000}"/>
    <cellStyle name="Dziesiętny 3 3 3 2 2" xfId="1562" xr:uid="{00000000-0005-0000-0000-000097020000}"/>
    <cellStyle name="Dziesiętny 3 3 3 2 2 2" xfId="2677" xr:uid="{00000000-0005-0000-0000-000098020000}"/>
    <cellStyle name="Dziesiętny 3 3 3 2 3" xfId="2118" xr:uid="{00000000-0005-0000-0000-000099020000}"/>
    <cellStyle name="Dziesiętny 3 3 3 3" xfId="1505" xr:uid="{00000000-0005-0000-0000-00009A020000}"/>
    <cellStyle name="Dziesiętny 3 3 3 3 2" xfId="2627" xr:uid="{00000000-0005-0000-0000-00009B020000}"/>
    <cellStyle name="Dziesiętny 3 3 3 4" xfId="2069" xr:uid="{00000000-0005-0000-0000-00009C020000}"/>
    <cellStyle name="Dziesiętny 3 3 4" xfId="1109" xr:uid="{00000000-0005-0000-0000-00009D020000}"/>
    <cellStyle name="Dziesiętny 3 3 4 2" xfId="1563" xr:uid="{00000000-0005-0000-0000-00009E020000}"/>
    <cellStyle name="Dziesiętny 3 3 4 2 2" xfId="2678" xr:uid="{00000000-0005-0000-0000-00009F020000}"/>
    <cellStyle name="Dziesiętny 3 3 4 3" xfId="2119" xr:uid="{00000000-0005-0000-0000-0000A0020000}"/>
    <cellStyle name="Dziesiętny 3 3 5" xfId="1469" xr:uid="{00000000-0005-0000-0000-0000A1020000}"/>
    <cellStyle name="Dziesiętny 3 3 5 2" xfId="2588" xr:uid="{00000000-0005-0000-0000-0000A2020000}"/>
    <cellStyle name="Dziesiętny 3 3 6" xfId="2030" xr:uid="{00000000-0005-0000-0000-0000A3020000}"/>
    <cellStyle name="Dziesiętny 3 4" xfId="25" xr:uid="{00000000-0005-0000-0000-0000A4020000}"/>
    <cellStyle name="Dziesiętny 3 4 2" xfId="47" xr:uid="{00000000-0005-0000-0000-0000A5020000}"/>
    <cellStyle name="Dziesiętny 3 4 2 2" xfId="86" xr:uid="{00000000-0005-0000-0000-0000A6020000}"/>
    <cellStyle name="Dziesiętny 3 4 2 2 2" xfId="1110" xr:uid="{00000000-0005-0000-0000-0000A7020000}"/>
    <cellStyle name="Dziesiętny 3 4 2 2 2 2" xfId="1564" xr:uid="{00000000-0005-0000-0000-0000A8020000}"/>
    <cellStyle name="Dziesiętny 3 4 2 2 2 2 2" xfId="2679" xr:uid="{00000000-0005-0000-0000-0000A9020000}"/>
    <cellStyle name="Dziesiętny 3 4 2 2 2 3" xfId="2120" xr:uid="{00000000-0005-0000-0000-0000AA020000}"/>
    <cellStyle name="Dziesiętny 3 4 2 2 3" xfId="1518" xr:uid="{00000000-0005-0000-0000-0000AB020000}"/>
    <cellStyle name="Dziesiętny 3 4 2 2 3 2" xfId="2640" xr:uid="{00000000-0005-0000-0000-0000AC020000}"/>
    <cellStyle name="Dziesiętny 3 4 2 2 4" xfId="2082" xr:uid="{00000000-0005-0000-0000-0000AD020000}"/>
    <cellStyle name="Dziesiętny 3 4 2 3" xfId="1111" xr:uid="{00000000-0005-0000-0000-0000AE020000}"/>
    <cellStyle name="Dziesiętny 3 4 2 3 2" xfId="1565" xr:uid="{00000000-0005-0000-0000-0000AF020000}"/>
    <cellStyle name="Dziesiętny 3 4 2 3 2 2" xfId="2680" xr:uid="{00000000-0005-0000-0000-0000B0020000}"/>
    <cellStyle name="Dziesiętny 3 4 2 3 3" xfId="2121" xr:uid="{00000000-0005-0000-0000-0000B1020000}"/>
    <cellStyle name="Dziesiętny 3 4 2 4" xfId="1481" xr:uid="{00000000-0005-0000-0000-0000B2020000}"/>
    <cellStyle name="Dziesiętny 3 4 2 4 2" xfId="2601" xr:uid="{00000000-0005-0000-0000-0000B3020000}"/>
    <cellStyle name="Dziesiętny 3 4 2 5" xfId="2043" xr:uid="{00000000-0005-0000-0000-0000B4020000}"/>
    <cellStyle name="Dziesiętny 3 4 3" xfId="67" xr:uid="{00000000-0005-0000-0000-0000B5020000}"/>
    <cellStyle name="Dziesiętny 3 4 3 2" xfId="1112" xr:uid="{00000000-0005-0000-0000-0000B6020000}"/>
    <cellStyle name="Dziesiętny 3 4 3 2 2" xfId="1566" xr:uid="{00000000-0005-0000-0000-0000B7020000}"/>
    <cellStyle name="Dziesiętny 3 4 3 2 2 2" xfId="2681" xr:uid="{00000000-0005-0000-0000-0000B8020000}"/>
    <cellStyle name="Dziesiętny 3 4 3 2 3" xfId="2122" xr:uid="{00000000-0005-0000-0000-0000B9020000}"/>
    <cellStyle name="Dziesiętny 3 4 3 3" xfId="1500" xr:uid="{00000000-0005-0000-0000-0000BA020000}"/>
    <cellStyle name="Dziesiętny 3 4 3 3 2" xfId="2621" xr:uid="{00000000-0005-0000-0000-0000BB020000}"/>
    <cellStyle name="Dziesiętny 3 4 3 4" xfId="2063" xr:uid="{00000000-0005-0000-0000-0000BC020000}"/>
    <cellStyle name="Dziesiętny 3 4 4" xfId="1113" xr:uid="{00000000-0005-0000-0000-0000BD020000}"/>
    <cellStyle name="Dziesiętny 3 4 4 2" xfId="1567" xr:uid="{00000000-0005-0000-0000-0000BE020000}"/>
    <cellStyle name="Dziesiętny 3 4 4 2 2" xfId="2682" xr:uid="{00000000-0005-0000-0000-0000BF020000}"/>
    <cellStyle name="Dziesiętny 3 4 4 3" xfId="2123" xr:uid="{00000000-0005-0000-0000-0000C0020000}"/>
    <cellStyle name="Dziesiętny 3 4 5" xfId="1464" xr:uid="{00000000-0005-0000-0000-0000C1020000}"/>
    <cellStyle name="Dziesiętny 3 4 5 2" xfId="2583" xr:uid="{00000000-0005-0000-0000-0000C2020000}"/>
    <cellStyle name="Dziesiętny 3 4 6" xfId="2025" xr:uid="{00000000-0005-0000-0000-0000C3020000}"/>
    <cellStyle name="Dziesiętny 3 5" xfId="41" xr:uid="{00000000-0005-0000-0000-0000C4020000}"/>
    <cellStyle name="Dziesiętny 3 5 2" xfId="80" xr:uid="{00000000-0005-0000-0000-0000C5020000}"/>
    <cellStyle name="Dziesiętny 3 5 2 2" xfId="1114" xr:uid="{00000000-0005-0000-0000-0000C6020000}"/>
    <cellStyle name="Dziesiętny 3 5 2 2 2" xfId="1568" xr:uid="{00000000-0005-0000-0000-0000C7020000}"/>
    <cellStyle name="Dziesiętny 3 5 2 2 2 2" xfId="2683" xr:uid="{00000000-0005-0000-0000-0000C8020000}"/>
    <cellStyle name="Dziesiętny 3 5 2 2 3" xfId="2124" xr:uid="{00000000-0005-0000-0000-0000C9020000}"/>
    <cellStyle name="Dziesiętny 3 5 2 3" xfId="1512" xr:uid="{00000000-0005-0000-0000-0000CA020000}"/>
    <cellStyle name="Dziesiętny 3 5 2 3 2" xfId="2634" xr:uid="{00000000-0005-0000-0000-0000CB020000}"/>
    <cellStyle name="Dziesiętny 3 5 2 4" xfId="2076" xr:uid="{00000000-0005-0000-0000-0000CC020000}"/>
    <cellStyle name="Dziesiętny 3 5 3" xfId="1115" xr:uid="{00000000-0005-0000-0000-0000CD020000}"/>
    <cellStyle name="Dziesiętny 3 5 3 2" xfId="1569" xr:uid="{00000000-0005-0000-0000-0000CE020000}"/>
    <cellStyle name="Dziesiętny 3 5 3 2 2" xfId="2684" xr:uid="{00000000-0005-0000-0000-0000CF020000}"/>
    <cellStyle name="Dziesiętny 3 5 3 3" xfId="2125" xr:uid="{00000000-0005-0000-0000-0000D0020000}"/>
    <cellStyle name="Dziesiętny 3 5 4" xfId="1475" xr:uid="{00000000-0005-0000-0000-0000D1020000}"/>
    <cellStyle name="Dziesiętny 3 5 4 2" xfId="2595" xr:uid="{00000000-0005-0000-0000-0000D2020000}"/>
    <cellStyle name="Dziesiętny 3 5 5" xfId="2037" xr:uid="{00000000-0005-0000-0000-0000D3020000}"/>
    <cellStyle name="Dziesiętny 3 6" xfId="61" xr:uid="{00000000-0005-0000-0000-0000D4020000}"/>
    <cellStyle name="Dziesiętny 3 6 2" xfId="1116" xr:uid="{00000000-0005-0000-0000-0000D5020000}"/>
    <cellStyle name="Dziesiętny 3 6 2 2" xfId="1570" xr:uid="{00000000-0005-0000-0000-0000D6020000}"/>
    <cellStyle name="Dziesiętny 3 6 2 2 2" xfId="2685" xr:uid="{00000000-0005-0000-0000-0000D7020000}"/>
    <cellStyle name="Dziesiętny 3 6 2 3" xfId="2126" xr:uid="{00000000-0005-0000-0000-0000D8020000}"/>
    <cellStyle name="Dziesiętny 3 6 3" xfId="1494" xr:uid="{00000000-0005-0000-0000-0000D9020000}"/>
    <cellStyle name="Dziesiętny 3 6 3 2" xfId="2615" xr:uid="{00000000-0005-0000-0000-0000DA020000}"/>
    <cellStyle name="Dziesiętny 3 6 4" xfId="2057" xr:uid="{00000000-0005-0000-0000-0000DB020000}"/>
    <cellStyle name="Dziesiętny 3 7" xfId="146" xr:uid="{00000000-0005-0000-0000-0000DC020000}"/>
    <cellStyle name="Dziesiętny 3 7 2" xfId="1536" xr:uid="{00000000-0005-0000-0000-0000DD020000}"/>
    <cellStyle name="Dziesiętny 3 8" xfId="1459" xr:uid="{00000000-0005-0000-0000-0000DE020000}"/>
    <cellStyle name="Dziesiętny 3 8 2" xfId="2577" xr:uid="{00000000-0005-0000-0000-0000DF020000}"/>
    <cellStyle name="Dziesiętny 3 9" xfId="2019" xr:uid="{00000000-0005-0000-0000-0000E0020000}"/>
    <cellStyle name="Dziesiętny 4" xfId="39" xr:uid="{00000000-0005-0000-0000-0000E1020000}"/>
    <cellStyle name="Dziesiętny 4 2" xfId="273" xr:uid="{00000000-0005-0000-0000-0000E2020000}"/>
    <cellStyle name="Dziesiętny 4 2 2" xfId="688" xr:uid="{00000000-0005-0000-0000-0000E3020000}"/>
    <cellStyle name="Dziesiętny 4 2 2 2" xfId="941" xr:uid="{00000000-0005-0000-0000-0000E4020000}"/>
    <cellStyle name="Dziesiętny 4 2 2 2 2" xfId="1117" xr:uid="{00000000-0005-0000-0000-0000E5020000}"/>
    <cellStyle name="Dziesiętny 4 2 2 2 2 2" xfId="1573" xr:uid="{00000000-0005-0000-0000-0000E6020000}"/>
    <cellStyle name="Dziesiętny 4 2 2 2 2 2 2" xfId="2688" xr:uid="{00000000-0005-0000-0000-0000E7020000}"/>
    <cellStyle name="Dziesiętny 4 2 2 2 2 3" xfId="2129" xr:uid="{00000000-0005-0000-0000-0000E8020000}"/>
    <cellStyle name="Dziesiętny 4 2 2 2 3" xfId="1572" xr:uid="{00000000-0005-0000-0000-0000E9020000}"/>
    <cellStyle name="Dziesiętny 4 2 2 2 3 2" xfId="2687" xr:uid="{00000000-0005-0000-0000-0000EA020000}"/>
    <cellStyle name="Dziesiętny 4 2 2 2 4" xfId="2128" xr:uid="{00000000-0005-0000-0000-0000EB020000}"/>
    <cellStyle name="Dziesiętny 4 2 2 3" xfId="1118" xr:uid="{00000000-0005-0000-0000-0000EC020000}"/>
    <cellStyle name="Dziesiętny 4 2 2 3 2" xfId="1574" xr:uid="{00000000-0005-0000-0000-0000ED020000}"/>
    <cellStyle name="Dziesiętny 4 2 2 3 2 2" xfId="2689" xr:uid="{00000000-0005-0000-0000-0000EE020000}"/>
    <cellStyle name="Dziesiętny 4 2 2 3 3" xfId="2130" xr:uid="{00000000-0005-0000-0000-0000EF020000}"/>
    <cellStyle name="Dziesiętny 4 2 2 4" xfId="1571" xr:uid="{00000000-0005-0000-0000-0000F0020000}"/>
    <cellStyle name="Dziesiętny 4 2 2 4 2" xfId="2686" xr:uid="{00000000-0005-0000-0000-0000F1020000}"/>
    <cellStyle name="Dziesiętny 4 2 2 5" xfId="2127" xr:uid="{00000000-0005-0000-0000-0000F2020000}"/>
    <cellStyle name="Dziesiętny 4 2 3" xfId="1059" xr:uid="{00000000-0005-0000-0000-0000F3020000}"/>
    <cellStyle name="Dziesiętny 4 2 3 2" xfId="1119" xr:uid="{00000000-0005-0000-0000-0000F4020000}"/>
    <cellStyle name="Dziesiętny 4 2 3 2 2" xfId="1576" xr:uid="{00000000-0005-0000-0000-0000F5020000}"/>
    <cellStyle name="Dziesiętny 4 2 3 2 2 2" xfId="2691" xr:uid="{00000000-0005-0000-0000-0000F6020000}"/>
    <cellStyle name="Dziesiętny 4 2 3 2 3" xfId="2132" xr:uid="{00000000-0005-0000-0000-0000F7020000}"/>
    <cellStyle name="Dziesiętny 4 2 3 3" xfId="1575" xr:uid="{00000000-0005-0000-0000-0000F8020000}"/>
    <cellStyle name="Dziesiętny 4 2 3 3 2" xfId="2690" xr:uid="{00000000-0005-0000-0000-0000F9020000}"/>
    <cellStyle name="Dziesiętny 4 2 3 4" xfId="2131" xr:uid="{00000000-0005-0000-0000-0000FA020000}"/>
    <cellStyle name="Dziesiętny 4 2 4" xfId="828" xr:uid="{00000000-0005-0000-0000-0000FB020000}"/>
    <cellStyle name="Dziesiętny 4 2 4 2" xfId="1577" xr:uid="{00000000-0005-0000-0000-0000FC020000}"/>
    <cellStyle name="Dziesiętny 4 2 4 2 2" xfId="2692" xr:uid="{00000000-0005-0000-0000-0000FD020000}"/>
    <cellStyle name="Dziesiętny 4 2 4 3" xfId="2133" xr:uid="{00000000-0005-0000-0000-0000FE020000}"/>
    <cellStyle name="Dziesiętny 4 2 5" xfId="1547" xr:uid="{00000000-0005-0000-0000-0000FF020000}"/>
    <cellStyle name="Dziesiętny 4 2 5 2" xfId="2662" xr:uid="{00000000-0005-0000-0000-000000030000}"/>
    <cellStyle name="Dziesiętny 4 2 6" xfId="2103" xr:uid="{00000000-0005-0000-0000-000001030000}"/>
    <cellStyle name="Dziesiętny 4 3" xfId="632" xr:uid="{00000000-0005-0000-0000-000002030000}"/>
    <cellStyle name="Dziesiętny 4 3 2" xfId="884" xr:uid="{00000000-0005-0000-0000-000003030000}"/>
    <cellStyle name="Dziesiętny 4 3 2 2" xfId="1120" xr:uid="{00000000-0005-0000-0000-000004030000}"/>
    <cellStyle name="Dziesiętny 4 3 2 2 2" xfId="1121" xr:uid="{00000000-0005-0000-0000-000005030000}"/>
    <cellStyle name="Dziesiętny 4 3 2 2 2 2" xfId="1581" xr:uid="{00000000-0005-0000-0000-000006030000}"/>
    <cellStyle name="Dziesiętny 4 3 2 2 2 2 2" xfId="2696" xr:uid="{00000000-0005-0000-0000-000007030000}"/>
    <cellStyle name="Dziesiętny 4 3 2 2 2 3" xfId="2137" xr:uid="{00000000-0005-0000-0000-000008030000}"/>
    <cellStyle name="Dziesiętny 4 3 2 2 3" xfId="1580" xr:uid="{00000000-0005-0000-0000-000009030000}"/>
    <cellStyle name="Dziesiętny 4 3 2 2 3 2" xfId="2695" xr:uid="{00000000-0005-0000-0000-00000A030000}"/>
    <cellStyle name="Dziesiętny 4 3 2 2 4" xfId="2136" xr:uid="{00000000-0005-0000-0000-00000B030000}"/>
    <cellStyle name="Dziesiętny 4 3 2 3" xfId="1122" xr:uid="{00000000-0005-0000-0000-00000C030000}"/>
    <cellStyle name="Dziesiętny 4 3 2 3 2" xfId="1582" xr:uid="{00000000-0005-0000-0000-00000D030000}"/>
    <cellStyle name="Dziesiętny 4 3 2 3 2 2" xfId="2697" xr:uid="{00000000-0005-0000-0000-00000E030000}"/>
    <cellStyle name="Dziesiętny 4 3 2 3 3" xfId="2138" xr:uid="{00000000-0005-0000-0000-00000F030000}"/>
    <cellStyle name="Dziesiętny 4 3 2 4" xfId="1579" xr:uid="{00000000-0005-0000-0000-000010030000}"/>
    <cellStyle name="Dziesiętny 4 3 2 4 2" xfId="2694" xr:uid="{00000000-0005-0000-0000-000011030000}"/>
    <cellStyle name="Dziesiętny 4 3 2 5" xfId="2135" xr:uid="{00000000-0005-0000-0000-000012030000}"/>
    <cellStyle name="Dziesiętny 4 3 3" xfId="1123" xr:uid="{00000000-0005-0000-0000-000013030000}"/>
    <cellStyle name="Dziesiętny 4 3 3 2" xfId="1124" xr:uid="{00000000-0005-0000-0000-000014030000}"/>
    <cellStyle name="Dziesiętny 4 3 3 2 2" xfId="1584" xr:uid="{00000000-0005-0000-0000-000015030000}"/>
    <cellStyle name="Dziesiętny 4 3 3 2 2 2" xfId="2699" xr:uid="{00000000-0005-0000-0000-000016030000}"/>
    <cellStyle name="Dziesiętny 4 3 3 2 3" xfId="2140" xr:uid="{00000000-0005-0000-0000-000017030000}"/>
    <cellStyle name="Dziesiętny 4 3 3 3" xfId="1583" xr:uid="{00000000-0005-0000-0000-000018030000}"/>
    <cellStyle name="Dziesiętny 4 3 3 3 2" xfId="2698" xr:uid="{00000000-0005-0000-0000-000019030000}"/>
    <cellStyle name="Dziesiętny 4 3 3 4" xfId="2139" xr:uid="{00000000-0005-0000-0000-00001A030000}"/>
    <cellStyle name="Dziesiętny 4 3 4" xfId="1125" xr:uid="{00000000-0005-0000-0000-00001B030000}"/>
    <cellStyle name="Dziesiętny 4 3 4 2" xfId="1585" xr:uid="{00000000-0005-0000-0000-00001C030000}"/>
    <cellStyle name="Dziesiętny 4 3 4 2 2" xfId="2700" xr:uid="{00000000-0005-0000-0000-00001D030000}"/>
    <cellStyle name="Dziesiętny 4 3 4 3" xfId="2141" xr:uid="{00000000-0005-0000-0000-00001E030000}"/>
    <cellStyle name="Dziesiętny 4 3 5" xfId="1578" xr:uid="{00000000-0005-0000-0000-00001F030000}"/>
    <cellStyle name="Dziesiętny 4 3 5 2" xfId="2693" xr:uid="{00000000-0005-0000-0000-000020030000}"/>
    <cellStyle name="Dziesiętny 4 3 6" xfId="2134" xr:uid="{00000000-0005-0000-0000-000021030000}"/>
    <cellStyle name="Dziesiętny 4 4" xfId="1006" xr:uid="{00000000-0005-0000-0000-000022030000}"/>
    <cellStyle name="Dziesiętny 4 4 2" xfId="1126" xr:uid="{00000000-0005-0000-0000-000023030000}"/>
    <cellStyle name="Dziesiętny 4 4 2 2" xfId="1127" xr:uid="{00000000-0005-0000-0000-000024030000}"/>
    <cellStyle name="Dziesiętny 4 4 2 2 2" xfId="1588" xr:uid="{00000000-0005-0000-0000-000025030000}"/>
    <cellStyle name="Dziesiętny 4 4 2 2 2 2" xfId="2703" xr:uid="{00000000-0005-0000-0000-000026030000}"/>
    <cellStyle name="Dziesiętny 4 4 2 2 3" xfId="2144" xr:uid="{00000000-0005-0000-0000-000027030000}"/>
    <cellStyle name="Dziesiętny 4 4 2 3" xfId="1587" xr:uid="{00000000-0005-0000-0000-000028030000}"/>
    <cellStyle name="Dziesiętny 4 4 2 3 2" xfId="2702" xr:uid="{00000000-0005-0000-0000-000029030000}"/>
    <cellStyle name="Dziesiętny 4 4 2 4" xfId="2143" xr:uid="{00000000-0005-0000-0000-00002A030000}"/>
    <cellStyle name="Dziesiętny 4 4 3" xfId="1128" xr:uid="{00000000-0005-0000-0000-00002B030000}"/>
    <cellStyle name="Dziesiętny 4 4 3 2" xfId="1589" xr:uid="{00000000-0005-0000-0000-00002C030000}"/>
    <cellStyle name="Dziesiętny 4 4 3 2 2" xfId="2704" xr:uid="{00000000-0005-0000-0000-00002D030000}"/>
    <cellStyle name="Dziesiętny 4 4 3 3" xfId="2145" xr:uid="{00000000-0005-0000-0000-00002E030000}"/>
    <cellStyle name="Dziesiętny 4 4 4" xfId="1586" xr:uid="{00000000-0005-0000-0000-00002F030000}"/>
    <cellStyle name="Dziesiętny 4 4 4 2" xfId="2701" xr:uid="{00000000-0005-0000-0000-000030030000}"/>
    <cellStyle name="Dziesiętny 4 4 5" xfId="2142" xr:uid="{00000000-0005-0000-0000-000031030000}"/>
    <cellStyle name="Dziesiętny 4 5" xfId="776" xr:uid="{00000000-0005-0000-0000-000032030000}"/>
    <cellStyle name="Dziesiętny 4 5 2" xfId="1129" xr:uid="{00000000-0005-0000-0000-000033030000}"/>
    <cellStyle name="Dziesiętny 4 5 2 2" xfId="1591" xr:uid="{00000000-0005-0000-0000-000034030000}"/>
    <cellStyle name="Dziesiętny 4 5 2 2 2" xfId="2706" xr:uid="{00000000-0005-0000-0000-000035030000}"/>
    <cellStyle name="Dziesiętny 4 5 2 3" xfId="2147" xr:uid="{00000000-0005-0000-0000-000036030000}"/>
    <cellStyle name="Dziesiętny 4 5 3" xfId="1590" xr:uid="{00000000-0005-0000-0000-000037030000}"/>
    <cellStyle name="Dziesiętny 4 5 3 2" xfId="2705" xr:uid="{00000000-0005-0000-0000-000038030000}"/>
    <cellStyle name="Dziesiętny 4 5 4" xfId="2146" xr:uid="{00000000-0005-0000-0000-000039030000}"/>
    <cellStyle name="Dziesiętny 4 6" xfId="1130" xr:uid="{00000000-0005-0000-0000-00003A030000}"/>
    <cellStyle name="Dziesiętny 4 6 2" xfId="1592" xr:uid="{00000000-0005-0000-0000-00003B030000}"/>
    <cellStyle name="Dziesiętny 4 6 2 2" xfId="2707" xr:uid="{00000000-0005-0000-0000-00003C030000}"/>
    <cellStyle name="Dziesiętny 4 6 3" xfId="2148" xr:uid="{00000000-0005-0000-0000-00003D030000}"/>
    <cellStyle name="Dziesiętny 5" xfId="295" xr:uid="{00000000-0005-0000-0000-00003E030000}"/>
    <cellStyle name="Dziesiętny 5 2" xfId="521" xr:uid="{00000000-0005-0000-0000-00003F030000}"/>
    <cellStyle name="Dziesiętny 5 2 2" xfId="1132" xr:uid="{00000000-0005-0000-0000-000040030000}"/>
    <cellStyle name="Dziesiętny 5 2 2 2" xfId="1133" xr:uid="{00000000-0005-0000-0000-000041030000}"/>
    <cellStyle name="Dziesiętny 5 2 2 2 2" xfId="1596" xr:uid="{00000000-0005-0000-0000-000042030000}"/>
    <cellStyle name="Dziesiętny 5 2 2 2 2 2" xfId="2711" xr:uid="{00000000-0005-0000-0000-000043030000}"/>
    <cellStyle name="Dziesiętny 5 2 2 2 3" xfId="2152" xr:uid="{00000000-0005-0000-0000-000044030000}"/>
    <cellStyle name="Dziesiętny 5 2 2 3" xfId="1595" xr:uid="{00000000-0005-0000-0000-000045030000}"/>
    <cellStyle name="Dziesiętny 5 2 2 3 2" xfId="2710" xr:uid="{00000000-0005-0000-0000-000046030000}"/>
    <cellStyle name="Dziesiętny 5 2 2 4" xfId="2151" xr:uid="{00000000-0005-0000-0000-000047030000}"/>
    <cellStyle name="Dziesiętny 5 2 3" xfId="1134" xr:uid="{00000000-0005-0000-0000-000048030000}"/>
    <cellStyle name="Dziesiętny 5 2 3 2" xfId="1597" xr:uid="{00000000-0005-0000-0000-000049030000}"/>
    <cellStyle name="Dziesiętny 5 2 3 2 2" xfId="2712" xr:uid="{00000000-0005-0000-0000-00004A030000}"/>
    <cellStyle name="Dziesiętny 5 2 3 3" xfId="2153" xr:uid="{00000000-0005-0000-0000-00004B030000}"/>
    <cellStyle name="Dziesiętny 5 2 4" xfId="1594" xr:uid="{00000000-0005-0000-0000-00004C030000}"/>
    <cellStyle name="Dziesiętny 5 2 4 2" xfId="2709" xr:uid="{00000000-0005-0000-0000-00004D030000}"/>
    <cellStyle name="Dziesiętny 5 2 5" xfId="2150" xr:uid="{00000000-0005-0000-0000-00004E030000}"/>
    <cellStyle name="Dziesiętny 5 2 6" xfId="1131" xr:uid="{00000000-0005-0000-0000-00004F030000}"/>
    <cellStyle name="Dziesiętny 5 3" xfId="1135" xr:uid="{00000000-0005-0000-0000-000050030000}"/>
    <cellStyle name="Dziesiętny 5 3 2" xfId="1136" xr:uid="{00000000-0005-0000-0000-000051030000}"/>
    <cellStyle name="Dziesiętny 5 3 2 2" xfId="1599" xr:uid="{00000000-0005-0000-0000-000052030000}"/>
    <cellStyle name="Dziesiętny 5 3 2 2 2" xfId="2714" xr:uid="{00000000-0005-0000-0000-000053030000}"/>
    <cellStyle name="Dziesiętny 5 3 2 3" xfId="2155" xr:uid="{00000000-0005-0000-0000-000054030000}"/>
    <cellStyle name="Dziesiętny 5 3 3" xfId="1598" xr:uid="{00000000-0005-0000-0000-000055030000}"/>
    <cellStyle name="Dziesiętny 5 3 3 2" xfId="2713" xr:uid="{00000000-0005-0000-0000-000056030000}"/>
    <cellStyle name="Dziesiętny 5 3 4" xfId="2154" xr:uid="{00000000-0005-0000-0000-000057030000}"/>
    <cellStyle name="Dziesiętny 5 4" xfId="1137" xr:uid="{00000000-0005-0000-0000-000058030000}"/>
    <cellStyle name="Dziesiętny 5 4 2" xfId="1600" xr:uid="{00000000-0005-0000-0000-000059030000}"/>
    <cellStyle name="Dziesiętny 5 4 2 2" xfId="2715" xr:uid="{00000000-0005-0000-0000-00005A030000}"/>
    <cellStyle name="Dziesiętny 5 4 3" xfId="2156" xr:uid="{00000000-0005-0000-0000-00005B030000}"/>
    <cellStyle name="Dziesiętny 5 5" xfId="1593" xr:uid="{00000000-0005-0000-0000-00005C030000}"/>
    <cellStyle name="Dziesiętny 5 5 2" xfId="2708" xr:uid="{00000000-0005-0000-0000-00005D030000}"/>
    <cellStyle name="Dziesiętny 5 6" xfId="2149" xr:uid="{00000000-0005-0000-0000-00005E030000}"/>
    <cellStyle name="Dziesiętny 6" xfId="314" xr:uid="{00000000-0005-0000-0000-00005F030000}"/>
    <cellStyle name="Dziesiętny 6 2" xfId="1138" xr:uid="{00000000-0005-0000-0000-000060030000}"/>
    <cellStyle name="Dziesiętny 6 2 2" xfId="1139" xr:uid="{00000000-0005-0000-0000-000061030000}"/>
    <cellStyle name="Dziesiętny 6 2 2 2" xfId="1140" xr:uid="{00000000-0005-0000-0000-000062030000}"/>
    <cellStyle name="Dziesiętny 6 2 2 2 2" xfId="1604" xr:uid="{00000000-0005-0000-0000-000063030000}"/>
    <cellStyle name="Dziesiętny 6 2 2 2 2 2" xfId="2719" xr:uid="{00000000-0005-0000-0000-000064030000}"/>
    <cellStyle name="Dziesiętny 6 2 2 2 3" xfId="2160" xr:uid="{00000000-0005-0000-0000-000065030000}"/>
    <cellStyle name="Dziesiętny 6 2 2 3" xfId="1603" xr:uid="{00000000-0005-0000-0000-000066030000}"/>
    <cellStyle name="Dziesiętny 6 2 2 3 2" xfId="2718" xr:uid="{00000000-0005-0000-0000-000067030000}"/>
    <cellStyle name="Dziesiętny 6 2 2 4" xfId="2159" xr:uid="{00000000-0005-0000-0000-000068030000}"/>
    <cellStyle name="Dziesiętny 6 2 3" xfId="1141" xr:uid="{00000000-0005-0000-0000-000069030000}"/>
    <cellStyle name="Dziesiętny 6 2 3 2" xfId="1605" xr:uid="{00000000-0005-0000-0000-00006A030000}"/>
    <cellStyle name="Dziesiętny 6 2 3 2 2" xfId="2720" xr:uid="{00000000-0005-0000-0000-00006B030000}"/>
    <cellStyle name="Dziesiętny 6 2 3 3" xfId="2161" xr:uid="{00000000-0005-0000-0000-00006C030000}"/>
    <cellStyle name="Dziesiętny 6 2 4" xfId="1602" xr:uid="{00000000-0005-0000-0000-00006D030000}"/>
    <cellStyle name="Dziesiętny 6 2 4 2" xfId="2717" xr:uid="{00000000-0005-0000-0000-00006E030000}"/>
    <cellStyle name="Dziesiętny 6 2 5" xfId="2158" xr:uid="{00000000-0005-0000-0000-00006F030000}"/>
    <cellStyle name="Dziesiętny 6 3" xfId="1142" xr:uid="{00000000-0005-0000-0000-000070030000}"/>
    <cellStyle name="Dziesiętny 6 3 2" xfId="1143" xr:uid="{00000000-0005-0000-0000-000071030000}"/>
    <cellStyle name="Dziesiętny 6 3 2 2" xfId="1607" xr:uid="{00000000-0005-0000-0000-000072030000}"/>
    <cellStyle name="Dziesiętny 6 3 2 2 2" xfId="2722" xr:uid="{00000000-0005-0000-0000-000073030000}"/>
    <cellStyle name="Dziesiętny 6 3 2 3" xfId="2163" xr:uid="{00000000-0005-0000-0000-000074030000}"/>
    <cellStyle name="Dziesiętny 6 3 3" xfId="1606" xr:uid="{00000000-0005-0000-0000-000075030000}"/>
    <cellStyle name="Dziesiętny 6 3 3 2" xfId="2721" xr:uid="{00000000-0005-0000-0000-000076030000}"/>
    <cellStyle name="Dziesiętny 6 3 4" xfId="2162" xr:uid="{00000000-0005-0000-0000-000077030000}"/>
    <cellStyle name="Dziesiętny 6 4" xfId="1144" xr:uid="{00000000-0005-0000-0000-000078030000}"/>
    <cellStyle name="Dziesiętny 6 4 2" xfId="1608" xr:uid="{00000000-0005-0000-0000-000079030000}"/>
    <cellStyle name="Dziesiętny 6 4 2 2" xfId="2723" xr:uid="{00000000-0005-0000-0000-00007A030000}"/>
    <cellStyle name="Dziesiętny 6 4 3" xfId="2164" xr:uid="{00000000-0005-0000-0000-00007B030000}"/>
    <cellStyle name="Dziesiętny 6 5" xfId="1601" xr:uid="{00000000-0005-0000-0000-00007C030000}"/>
    <cellStyle name="Dziesiętny 6 5 2" xfId="2716" xr:uid="{00000000-0005-0000-0000-00007D030000}"/>
    <cellStyle name="Dziesiętny 6 6" xfId="2157" xr:uid="{00000000-0005-0000-0000-00007E030000}"/>
    <cellStyle name="Dziesiętny 7" xfId="315" xr:uid="{00000000-0005-0000-0000-00007F030000}"/>
    <cellStyle name="Dziesiętny 7 2" xfId="1146" xr:uid="{00000000-0005-0000-0000-000080030000}"/>
    <cellStyle name="Dziesiętny 7 2 2" xfId="1147" xr:uid="{00000000-0005-0000-0000-000081030000}"/>
    <cellStyle name="Dziesiętny 7 2 2 2" xfId="1148" xr:uid="{00000000-0005-0000-0000-000082030000}"/>
    <cellStyle name="Dziesiętny 7 2 2 2 2" xfId="1612" xr:uid="{00000000-0005-0000-0000-000083030000}"/>
    <cellStyle name="Dziesiętny 7 2 2 2 2 2" xfId="2727" xr:uid="{00000000-0005-0000-0000-000084030000}"/>
    <cellStyle name="Dziesiętny 7 2 2 2 3" xfId="2168" xr:uid="{00000000-0005-0000-0000-000085030000}"/>
    <cellStyle name="Dziesiętny 7 2 2 3" xfId="1611" xr:uid="{00000000-0005-0000-0000-000086030000}"/>
    <cellStyle name="Dziesiętny 7 2 2 3 2" xfId="2726" xr:uid="{00000000-0005-0000-0000-000087030000}"/>
    <cellStyle name="Dziesiętny 7 2 2 4" xfId="2167" xr:uid="{00000000-0005-0000-0000-000088030000}"/>
    <cellStyle name="Dziesiętny 7 2 3" xfId="1149" xr:uid="{00000000-0005-0000-0000-000089030000}"/>
    <cellStyle name="Dziesiętny 7 2 3 2" xfId="1613" xr:uid="{00000000-0005-0000-0000-00008A030000}"/>
    <cellStyle name="Dziesiętny 7 2 3 2 2" xfId="2728" xr:uid="{00000000-0005-0000-0000-00008B030000}"/>
    <cellStyle name="Dziesiętny 7 2 3 3" xfId="2169" xr:uid="{00000000-0005-0000-0000-00008C030000}"/>
    <cellStyle name="Dziesiętny 7 2 4" xfId="1610" xr:uid="{00000000-0005-0000-0000-00008D030000}"/>
    <cellStyle name="Dziesiętny 7 2 4 2" xfId="2725" xr:uid="{00000000-0005-0000-0000-00008E030000}"/>
    <cellStyle name="Dziesiętny 7 2 5" xfId="2166" xr:uid="{00000000-0005-0000-0000-00008F030000}"/>
    <cellStyle name="Dziesiętny 7 3" xfId="1150" xr:uid="{00000000-0005-0000-0000-000090030000}"/>
    <cellStyle name="Dziesiętny 7 3 2" xfId="1151" xr:uid="{00000000-0005-0000-0000-000091030000}"/>
    <cellStyle name="Dziesiętny 7 3 2 2" xfId="1615" xr:uid="{00000000-0005-0000-0000-000092030000}"/>
    <cellStyle name="Dziesiętny 7 3 2 2 2" xfId="2730" xr:uid="{00000000-0005-0000-0000-000093030000}"/>
    <cellStyle name="Dziesiętny 7 3 2 3" xfId="2171" xr:uid="{00000000-0005-0000-0000-000094030000}"/>
    <cellStyle name="Dziesiętny 7 3 3" xfId="1614" xr:uid="{00000000-0005-0000-0000-000095030000}"/>
    <cellStyle name="Dziesiętny 7 3 3 2" xfId="2729" xr:uid="{00000000-0005-0000-0000-000096030000}"/>
    <cellStyle name="Dziesiętny 7 3 4" xfId="2170" xr:uid="{00000000-0005-0000-0000-000097030000}"/>
    <cellStyle name="Dziesiętny 7 4" xfId="1152" xr:uid="{00000000-0005-0000-0000-000098030000}"/>
    <cellStyle name="Dziesiętny 7 4 2" xfId="1616" xr:uid="{00000000-0005-0000-0000-000099030000}"/>
    <cellStyle name="Dziesiętny 7 4 2 2" xfId="2731" xr:uid="{00000000-0005-0000-0000-00009A030000}"/>
    <cellStyle name="Dziesiętny 7 4 3" xfId="2172" xr:uid="{00000000-0005-0000-0000-00009B030000}"/>
    <cellStyle name="Dziesiętny 7 5" xfId="1609" xr:uid="{00000000-0005-0000-0000-00009C030000}"/>
    <cellStyle name="Dziesiętny 7 5 2" xfId="2724" xr:uid="{00000000-0005-0000-0000-00009D030000}"/>
    <cellStyle name="Dziesiętny 7 6" xfId="2165" xr:uid="{00000000-0005-0000-0000-00009E030000}"/>
    <cellStyle name="Dziesiętny 7 7" xfId="1145" xr:uid="{00000000-0005-0000-0000-00009F030000}"/>
    <cellStyle name="Dziesiętny 8" xfId="317" xr:uid="{00000000-0005-0000-0000-0000A0030000}"/>
    <cellStyle name="Dziesiętny 8 2" xfId="331" xr:uid="{00000000-0005-0000-0000-0000A1030000}"/>
    <cellStyle name="Dziesiętny 8 2 2" xfId="1618" xr:uid="{00000000-0005-0000-0000-0000A2030000}"/>
    <cellStyle name="Dziesiętny 8 2 2 2" xfId="2733" xr:uid="{00000000-0005-0000-0000-0000A3030000}"/>
    <cellStyle name="Dziesiętny 8 2 3" xfId="2174" xr:uid="{00000000-0005-0000-0000-0000A4030000}"/>
    <cellStyle name="Dziesiętny 8 2 4" xfId="1154" xr:uid="{00000000-0005-0000-0000-0000A5030000}"/>
    <cellStyle name="Dziesiętny 8 3" xfId="1617" xr:uid="{00000000-0005-0000-0000-0000A6030000}"/>
    <cellStyle name="Dziesiętny 8 3 2" xfId="2732" xr:uid="{00000000-0005-0000-0000-0000A7030000}"/>
    <cellStyle name="Dziesiętny 8 4" xfId="2173" xr:uid="{00000000-0005-0000-0000-0000A8030000}"/>
    <cellStyle name="Dziesiętny 8 5" xfId="1153" xr:uid="{00000000-0005-0000-0000-0000A9030000}"/>
    <cellStyle name="Dziesiętny 9" xfId="1081" xr:uid="{00000000-0005-0000-0000-0000AA030000}"/>
    <cellStyle name="Dziesiętny 9 2" xfId="3140" xr:uid="{00000000-0005-0000-0000-0000AB030000}"/>
    <cellStyle name="Dziesiętny 9 3" xfId="3150" xr:uid="{00000000-0005-0000-0000-0000AC030000}"/>
    <cellStyle name="Dziesiętny 9 4" xfId="3160" xr:uid="{00000000-0005-0000-0000-0000AD030000}"/>
    <cellStyle name="Dziesiętny 9 5" xfId="3170" xr:uid="{00000000-0005-0000-0000-0000AE030000}"/>
    <cellStyle name="Excel Built-in 20% - Accent1" xfId="152" xr:uid="{00000000-0005-0000-0000-0000AF030000}"/>
    <cellStyle name="Excel Built-in 20% - Accent2" xfId="153" xr:uid="{00000000-0005-0000-0000-0000B0030000}"/>
    <cellStyle name="Excel Built-in 20% - Accent3" xfId="154" xr:uid="{00000000-0005-0000-0000-0000B1030000}"/>
    <cellStyle name="Excel Built-in 20% - Accent4" xfId="155" xr:uid="{00000000-0005-0000-0000-0000B2030000}"/>
    <cellStyle name="Excel Built-in 20% - Accent5" xfId="156" xr:uid="{00000000-0005-0000-0000-0000B3030000}"/>
    <cellStyle name="Excel Built-in 20% - Accent6" xfId="157" xr:uid="{00000000-0005-0000-0000-0000B4030000}"/>
    <cellStyle name="Excel Built-in 40% - Accent1" xfId="158" xr:uid="{00000000-0005-0000-0000-0000B5030000}"/>
    <cellStyle name="Excel Built-in 40% - Accent2" xfId="159" xr:uid="{00000000-0005-0000-0000-0000B6030000}"/>
    <cellStyle name="Excel Built-in 40% - Accent3" xfId="160" xr:uid="{00000000-0005-0000-0000-0000B7030000}"/>
    <cellStyle name="Excel Built-in 40% - Accent4" xfId="161" xr:uid="{00000000-0005-0000-0000-0000B8030000}"/>
    <cellStyle name="Excel Built-in 40% - Accent5" xfId="162" xr:uid="{00000000-0005-0000-0000-0000B9030000}"/>
    <cellStyle name="Excel Built-in 40% - Accent6" xfId="163" xr:uid="{00000000-0005-0000-0000-0000BA030000}"/>
    <cellStyle name="Excel Built-in 60% - Accent1" xfId="164" xr:uid="{00000000-0005-0000-0000-0000BB030000}"/>
    <cellStyle name="Excel Built-in 60% - Accent2" xfId="165" xr:uid="{00000000-0005-0000-0000-0000BC030000}"/>
    <cellStyle name="Excel Built-in 60% - Accent3" xfId="166" xr:uid="{00000000-0005-0000-0000-0000BD030000}"/>
    <cellStyle name="Excel Built-in 60% - Accent4" xfId="167" xr:uid="{00000000-0005-0000-0000-0000BE030000}"/>
    <cellStyle name="Excel Built-in 60% - Accent5" xfId="168" xr:uid="{00000000-0005-0000-0000-0000BF030000}"/>
    <cellStyle name="Excel Built-in 60% - Accent6" xfId="169" xr:uid="{00000000-0005-0000-0000-0000C0030000}"/>
    <cellStyle name="Excel Built-in Accent1" xfId="170" xr:uid="{00000000-0005-0000-0000-0000C1030000}"/>
    <cellStyle name="Excel Built-in Accent2" xfId="171" xr:uid="{00000000-0005-0000-0000-0000C2030000}"/>
    <cellStyle name="Excel Built-in Accent3" xfId="172" xr:uid="{00000000-0005-0000-0000-0000C3030000}"/>
    <cellStyle name="Excel Built-in Accent4" xfId="173" xr:uid="{00000000-0005-0000-0000-0000C4030000}"/>
    <cellStyle name="Excel Built-in Accent5" xfId="174" xr:uid="{00000000-0005-0000-0000-0000C5030000}"/>
    <cellStyle name="Excel Built-in Accent6" xfId="175" xr:uid="{00000000-0005-0000-0000-0000C6030000}"/>
    <cellStyle name="Excel Built-in Bad" xfId="176" xr:uid="{00000000-0005-0000-0000-0000C7030000}"/>
    <cellStyle name="Excel Built-in Calculation" xfId="177" xr:uid="{00000000-0005-0000-0000-0000C8030000}"/>
    <cellStyle name="Excel Built-in Check Cell" xfId="178" xr:uid="{00000000-0005-0000-0000-0000C9030000}"/>
    <cellStyle name="Excel Built-in Explanatory Text" xfId="179" xr:uid="{00000000-0005-0000-0000-0000CA030000}"/>
    <cellStyle name="Excel Built-in Good" xfId="180" xr:uid="{00000000-0005-0000-0000-0000CB030000}"/>
    <cellStyle name="Excel Built-in Heading 1" xfId="181" xr:uid="{00000000-0005-0000-0000-0000CC030000}"/>
    <cellStyle name="Excel Built-in Heading 2" xfId="182" xr:uid="{00000000-0005-0000-0000-0000CD030000}"/>
    <cellStyle name="Excel Built-in Heading 3" xfId="183" xr:uid="{00000000-0005-0000-0000-0000CE030000}"/>
    <cellStyle name="Excel Built-in Heading 4" xfId="184" xr:uid="{00000000-0005-0000-0000-0000CF030000}"/>
    <cellStyle name="Excel Built-in Hyperlink" xfId="185" xr:uid="{00000000-0005-0000-0000-0000D0030000}"/>
    <cellStyle name="Excel Built-in Input" xfId="186" xr:uid="{00000000-0005-0000-0000-0000D1030000}"/>
    <cellStyle name="Excel Built-in Linked Cell" xfId="187" xr:uid="{00000000-0005-0000-0000-0000D2030000}"/>
    <cellStyle name="Excel Built-in Neutral" xfId="188" xr:uid="{00000000-0005-0000-0000-0000D3030000}"/>
    <cellStyle name="Excel Built-in Normal" xfId="102" xr:uid="{00000000-0005-0000-0000-0000D4030000}"/>
    <cellStyle name="Excel Built-in Normal 2" xfId="483" xr:uid="{00000000-0005-0000-0000-0000D5030000}"/>
    <cellStyle name="Excel Built-in Normal 3" xfId="490" xr:uid="{00000000-0005-0000-0000-0000D6030000}"/>
    <cellStyle name="Excel Built-in Normal 4" xfId="374" xr:uid="{00000000-0005-0000-0000-0000D7030000}"/>
    <cellStyle name="Excel Built-in Note" xfId="189" xr:uid="{00000000-0005-0000-0000-0000D8030000}"/>
    <cellStyle name="Excel Built-in Output" xfId="190" xr:uid="{00000000-0005-0000-0000-0000D9030000}"/>
    <cellStyle name="Excel Built-in Title" xfId="191" xr:uid="{00000000-0005-0000-0000-0000DA030000}"/>
    <cellStyle name="Excel Built-in Total" xfId="192" xr:uid="{00000000-0005-0000-0000-0000DB030000}"/>
    <cellStyle name="Excel Built-in Warning Text" xfId="193" xr:uid="{00000000-0005-0000-0000-0000DC030000}"/>
    <cellStyle name="Explanatory Text" xfId="346" builtinId="53" customBuiltin="1"/>
    <cellStyle name="Good" xfId="337" builtinId="26" customBuiltin="1"/>
    <cellStyle name="Heading" xfId="194" xr:uid="{00000000-0005-0000-0000-0000DE030000}"/>
    <cellStyle name="Heading 1" xfId="333" builtinId="16" customBuiltin="1"/>
    <cellStyle name="Heading 2" xfId="334" xr:uid="{00000000-0005-0000-0000-0000DF030000}"/>
    <cellStyle name="Heading 3" xfId="335" xr:uid="{00000000-0005-0000-0000-0000E0030000}"/>
    <cellStyle name="Heading 4" xfId="336" builtinId="19" customBuiltin="1"/>
    <cellStyle name="Heading1" xfId="195" xr:uid="{00000000-0005-0000-0000-0000E1030000}"/>
    <cellStyle name="Heading1 2" xfId="530" xr:uid="{00000000-0005-0000-0000-0000E2030000}"/>
    <cellStyle name="Heading1 3" xfId="375" xr:uid="{00000000-0005-0000-0000-0000E3030000}"/>
    <cellStyle name="Hyperlink" xfId="3212" builtinId="8"/>
    <cellStyle name="Input" xfId="340" builtinId="20" customBuiltin="1"/>
    <cellStyle name="Komórka połączona 2" xfId="130" xr:uid="{00000000-0005-0000-0000-0000E5030000}"/>
    <cellStyle name="Komórka połączona 2 2" xfId="495" xr:uid="{00000000-0005-0000-0000-0000E6030000}"/>
    <cellStyle name="Komórka połączona 2 3" xfId="465" xr:uid="{00000000-0005-0000-0000-0000E7030000}"/>
    <cellStyle name="Komórka połączona 3" xfId="216" xr:uid="{00000000-0005-0000-0000-0000E8030000}"/>
    <cellStyle name="Komórka połączona 3 2" xfId="444" xr:uid="{00000000-0005-0000-0000-0000E9030000}"/>
    <cellStyle name="Komórka połączona 3 3" xfId="405" xr:uid="{00000000-0005-0000-0000-0000EA030000}"/>
    <cellStyle name="Komórka zaznaczona 2" xfId="131" xr:uid="{00000000-0005-0000-0000-0000EC030000}"/>
    <cellStyle name="Komórka zaznaczona 2 2" xfId="500" xr:uid="{00000000-0005-0000-0000-0000ED030000}"/>
    <cellStyle name="Komórka zaznaczona 2 3" xfId="466" xr:uid="{00000000-0005-0000-0000-0000EE030000}"/>
    <cellStyle name="Komórka zaznaczona 2 4" xfId="391" xr:uid="{00000000-0005-0000-0000-0000EF030000}"/>
    <cellStyle name="Komórka zaznaczona 3" xfId="217" xr:uid="{00000000-0005-0000-0000-0000F0030000}"/>
    <cellStyle name="Komórka zaznaczona 3 2" xfId="445" xr:uid="{00000000-0005-0000-0000-0000F1030000}"/>
    <cellStyle name="Komórka zaznaczona 3 3" xfId="406" xr:uid="{00000000-0005-0000-0000-0000F2030000}"/>
    <cellStyle name="Komórka zaznaczona 4" xfId="327" xr:uid="{00000000-0005-0000-0000-0000F3030000}"/>
    <cellStyle name="Linked Cell" xfId="343" builtinId="24" customBuiltin="1"/>
    <cellStyle name="Nagłówek 1 2" xfId="132" xr:uid="{00000000-0005-0000-0000-0000F5030000}"/>
    <cellStyle name="Nagłówek 1 2 2" xfId="488" xr:uid="{00000000-0005-0000-0000-0000F6030000}"/>
    <cellStyle name="Nagłówek 1 2 3" xfId="459" xr:uid="{00000000-0005-0000-0000-0000F7030000}"/>
    <cellStyle name="Nagłówek 1 3" xfId="206" xr:uid="{00000000-0005-0000-0000-0000F8030000}"/>
    <cellStyle name="Nagłówek 1 3 2" xfId="437" xr:uid="{00000000-0005-0000-0000-0000F9030000}"/>
    <cellStyle name="Nagłówek 1 3 3" xfId="396" xr:uid="{00000000-0005-0000-0000-0000FA030000}"/>
    <cellStyle name="Nagłówek 2 2" xfId="133" xr:uid="{00000000-0005-0000-0000-0000FC030000}"/>
    <cellStyle name="Nagłówek 2 2 2" xfId="502" xr:uid="{00000000-0005-0000-0000-0000FD030000}"/>
    <cellStyle name="Nagłówek 2 2 3" xfId="460" xr:uid="{00000000-0005-0000-0000-0000FE030000}"/>
    <cellStyle name="Nagłówek 2 3" xfId="207" xr:uid="{00000000-0005-0000-0000-0000FF030000}"/>
    <cellStyle name="Nagłówek 2 3 2" xfId="438" xr:uid="{00000000-0005-0000-0000-000000040000}"/>
    <cellStyle name="Nagłówek 2 3 3" xfId="397" xr:uid="{00000000-0005-0000-0000-000001040000}"/>
    <cellStyle name="Nagłówek 3 2" xfId="134" xr:uid="{00000000-0005-0000-0000-000003040000}"/>
    <cellStyle name="Nagłówek 3 2 2" xfId="518" xr:uid="{00000000-0005-0000-0000-000004040000}"/>
    <cellStyle name="Nagłówek 3 2 3" xfId="461" xr:uid="{00000000-0005-0000-0000-000005040000}"/>
    <cellStyle name="Nagłówek 3 3" xfId="208" xr:uid="{00000000-0005-0000-0000-000006040000}"/>
    <cellStyle name="Nagłówek 3 3 2" xfId="439" xr:uid="{00000000-0005-0000-0000-000007040000}"/>
    <cellStyle name="Nagłówek 3 3 3" xfId="398" xr:uid="{00000000-0005-0000-0000-000008040000}"/>
    <cellStyle name="Nagłówek 4 2" xfId="135" xr:uid="{00000000-0005-0000-0000-00000A040000}"/>
    <cellStyle name="Nagłówek 4 2 2" xfId="515" xr:uid="{00000000-0005-0000-0000-00000B040000}"/>
    <cellStyle name="Nagłówek 4 2 3" xfId="462" xr:uid="{00000000-0005-0000-0000-00000C040000}"/>
    <cellStyle name="Nagłówek 4 3" xfId="209" xr:uid="{00000000-0005-0000-0000-00000D040000}"/>
    <cellStyle name="Nagłówek 4 3 2" xfId="440" xr:uid="{00000000-0005-0000-0000-00000E040000}"/>
    <cellStyle name="Nagłówek 4 3 3" xfId="399" xr:uid="{00000000-0005-0000-0000-00000F040000}"/>
    <cellStyle name="Neutral" xfId="339" builtinId="28" customBuiltin="1"/>
    <cellStyle name="Neutralne 2" xfId="136" xr:uid="{00000000-0005-0000-0000-000010040000}"/>
    <cellStyle name="Neutralne 2 2" xfId="513" xr:uid="{00000000-0005-0000-0000-000011040000}"/>
    <cellStyle name="Neutralne 2 3" xfId="402" xr:uid="{00000000-0005-0000-0000-000012040000}"/>
    <cellStyle name="Neutralne 3" xfId="212" xr:uid="{00000000-0005-0000-0000-000013040000}"/>
    <cellStyle name="Normal" xfId="0" builtinId="0"/>
    <cellStyle name="Normal 2" xfId="291" xr:uid="{00000000-0005-0000-0000-000015040000}"/>
    <cellStyle name="Normal 3" xfId="482" xr:uid="{00000000-0005-0000-0000-000016040000}"/>
    <cellStyle name="Normalny 10" xfId="98" xr:uid="{00000000-0005-0000-0000-000019040000}"/>
    <cellStyle name="Normalny 10 10" xfId="2094" xr:uid="{00000000-0005-0000-0000-00001A040000}"/>
    <cellStyle name="Normalny 10 11" xfId="3189" xr:uid="{00000000-0005-0000-0000-00001B040000}"/>
    <cellStyle name="Normalny 10 2" xfId="271" xr:uid="{00000000-0005-0000-0000-00001C040000}"/>
    <cellStyle name="Normalny 10 2 2" xfId="296" xr:uid="{00000000-0005-0000-0000-00001D040000}"/>
    <cellStyle name="Normalny 10 2 2 2" xfId="1155" xr:uid="{00000000-0005-0000-0000-00001E040000}"/>
    <cellStyle name="Normalny 10 2 2 2 2" xfId="1156" xr:uid="{00000000-0005-0000-0000-00001F040000}"/>
    <cellStyle name="Normalny 10 2 2 2 2 2" xfId="1621" xr:uid="{00000000-0005-0000-0000-000020040000}"/>
    <cellStyle name="Normalny 10 2 2 2 2 2 2" xfId="2736" xr:uid="{00000000-0005-0000-0000-000021040000}"/>
    <cellStyle name="Normalny 10 2 2 2 2 3" xfId="2177" xr:uid="{00000000-0005-0000-0000-000022040000}"/>
    <cellStyle name="Normalny 10 2 2 2 3" xfId="1620" xr:uid="{00000000-0005-0000-0000-000023040000}"/>
    <cellStyle name="Normalny 10 2 2 2 3 2" xfId="2735" xr:uid="{00000000-0005-0000-0000-000024040000}"/>
    <cellStyle name="Normalny 10 2 2 2 4" xfId="2176" xr:uid="{00000000-0005-0000-0000-000025040000}"/>
    <cellStyle name="Normalny 10 2 2 3" xfId="1157" xr:uid="{00000000-0005-0000-0000-000026040000}"/>
    <cellStyle name="Normalny 10 2 2 3 2" xfId="1622" xr:uid="{00000000-0005-0000-0000-000027040000}"/>
    <cellStyle name="Normalny 10 2 2 3 2 2" xfId="2737" xr:uid="{00000000-0005-0000-0000-000028040000}"/>
    <cellStyle name="Normalny 10 2 2 3 3" xfId="2178" xr:uid="{00000000-0005-0000-0000-000029040000}"/>
    <cellStyle name="Normalny 10 2 2 4" xfId="1619" xr:uid="{00000000-0005-0000-0000-00002A040000}"/>
    <cellStyle name="Normalny 10 2 2 4 2" xfId="2734" xr:uid="{00000000-0005-0000-0000-00002B040000}"/>
    <cellStyle name="Normalny 10 2 2 5" xfId="2175" xr:uid="{00000000-0005-0000-0000-00002C040000}"/>
    <cellStyle name="Normalny 10 2 3" xfId="1158" xr:uid="{00000000-0005-0000-0000-00002D040000}"/>
    <cellStyle name="Normalny 10 2 3 2" xfId="1159" xr:uid="{00000000-0005-0000-0000-00002E040000}"/>
    <cellStyle name="Normalny 10 2 3 2 2" xfId="1624" xr:uid="{00000000-0005-0000-0000-00002F040000}"/>
    <cellStyle name="Normalny 10 2 3 2 2 2" xfId="2739" xr:uid="{00000000-0005-0000-0000-000030040000}"/>
    <cellStyle name="Normalny 10 2 3 2 3" xfId="2180" xr:uid="{00000000-0005-0000-0000-000031040000}"/>
    <cellStyle name="Normalny 10 2 3 3" xfId="1623" xr:uid="{00000000-0005-0000-0000-000032040000}"/>
    <cellStyle name="Normalny 10 2 3 3 2" xfId="2738" xr:uid="{00000000-0005-0000-0000-000033040000}"/>
    <cellStyle name="Normalny 10 2 3 4" xfId="2179" xr:uid="{00000000-0005-0000-0000-000034040000}"/>
    <cellStyle name="Normalny 10 2 4" xfId="1160" xr:uid="{00000000-0005-0000-0000-000035040000}"/>
    <cellStyle name="Normalny 10 2 4 2" xfId="1625" xr:uid="{00000000-0005-0000-0000-000036040000}"/>
    <cellStyle name="Normalny 10 2 4 2 2" xfId="2740" xr:uid="{00000000-0005-0000-0000-000037040000}"/>
    <cellStyle name="Normalny 10 2 4 3" xfId="2181" xr:uid="{00000000-0005-0000-0000-000038040000}"/>
    <cellStyle name="Normalny 10 3" xfId="301" xr:uid="{00000000-0005-0000-0000-000039040000}"/>
    <cellStyle name="Normalny 10 3 2" xfId="1161" xr:uid="{00000000-0005-0000-0000-00003A040000}"/>
    <cellStyle name="Normalny 10 3 2 2" xfId="1162" xr:uid="{00000000-0005-0000-0000-00003B040000}"/>
    <cellStyle name="Normalny 10 3 2 2 2" xfId="1163" xr:uid="{00000000-0005-0000-0000-00003C040000}"/>
    <cellStyle name="Normalny 10 3 2 2 2 2" xfId="1629" xr:uid="{00000000-0005-0000-0000-00003D040000}"/>
    <cellStyle name="Normalny 10 3 2 2 2 2 2" xfId="2744" xr:uid="{00000000-0005-0000-0000-00003E040000}"/>
    <cellStyle name="Normalny 10 3 2 2 2 3" xfId="2185" xr:uid="{00000000-0005-0000-0000-00003F040000}"/>
    <cellStyle name="Normalny 10 3 2 2 3" xfId="1628" xr:uid="{00000000-0005-0000-0000-000040040000}"/>
    <cellStyle name="Normalny 10 3 2 2 3 2" xfId="2743" xr:uid="{00000000-0005-0000-0000-000041040000}"/>
    <cellStyle name="Normalny 10 3 2 2 4" xfId="2184" xr:uid="{00000000-0005-0000-0000-000042040000}"/>
    <cellStyle name="Normalny 10 3 2 3" xfId="1164" xr:uid="{00000000-0005-0000-0000-000043040000}"/>
    <cellStyle name="Normalny 10 3 2 3 2" xfId="1630" xr:uid="{00000000-0005-0000-0000-000044040000}"/>
    <cellStyle name="Normalny 10 3 2 3 2 2" xfId="2745" xr:uid="{00000000-0005-0000-0000-000045040000}"/>
    <cellStyle name="Normalny 10 3 2 3 3" xfId="2186" xr:uid="{00000000-0005-0000-0000-000046040000}"/>
    <cellStyle name="Normalny 10 3 2 4" xfId="1627" xr:uid="{00000000-0005-0000-0000-000047040000}"/>
    <cellStyle name="Normalny 10 3 2 4 2" xfId="2742" xr:uid="{00000000-0005-0000-0000-000048040000}"/>
    <cellStyle name="Normalny 10 3 2 5" xfId="2183" xr:uid="{00000000-0005-0000-0000-000049040000}"/>
    <cellStyle name="Normalny 10 3 3" xfId="1165" xr:uid="{00000000-0005-0000-0000-00004A040000}"/>
    <cellStyle name="Normalny 10 3 3 2" xfId="1166" xr:uid="{00000000-0005-0000-0000-00004B040000}"/>
    <cellStyle name="Normalny 10 3 3 2 2" xfId="1632" xr:uid="{00000000-0005-0000-0000-00004C040000}"/>
    <cellStyle name="Normalny 10 3 3 2 2 2" xfId="2747" xr:uid="{00000000-0005-0000-0000-00004D040000}"/>
    <cellStyle name="Normalny 10 3 3 2 3" xfId="2188" xr:uid="{00000000-0005-0000-0000-00004E040000}"/>
    <cellStyle name="Normalny 10 3 3 3" xfId="1631" xr:uid="{00000000-0005-0000-0000-00004F040000}"/>
    <cellStyle name="Normalny 10 3 3 3 2" xfId="2746" xr:uid="{00000000-0005-0000-0000-000050040000}"/>
    <cellStyle name="Normalny 10 3 3 4" xfId="2187" xr:uid="{00000000-0005-0000-0000-000051040000}"/>
    <cellStyle name="Normalny 10 3 4" xfId="1167" xr:uid="{00000000-0005-0000-0000-000052040000}"/>
    <cellStyle name="Normalny 10 3 4 2" xfId="1633" xr:uid="{00000000-0005-0000-0000-000053040000}"/>
    <cellStyle name="Normalny 10 3 4 2 2" xfId="2748" xr:uid="{00000000-0005-0000-0000-000054040000}"/>
    <cellStyle name="Normalny 10 3 4 3" xfId="2189" xr:uid="{00000000-0005-0000-0000-000055040000}"/>
    <cellStyle name="Normalny 10 3 5" xfId="1626" xr:uid="{00000000-0005-0000-0000-000056040000}"/>
    <cellStyle name="Normalny 10 3 5 2" xfId="2741" xr:uid="{00000000-0005-0000-0000-000057040000}"/>
    <cellStyle name="Normalny 10 3 6" xfId="2182" xr:uid="{00000000-0005-0000-0000-000058040000}"/>
    <cellStyle name="Normalny 10 4" xfId="307" xr:uid="{00000000-0005-0000-0000-000059040000}"/>
    <cellStyle name="Normalny 10 4 2" xfId="1168" xr:uid="{00000000-0005-0000-0000-00005A040000}"/>
    <cellStyle name="Normalny 10 4 2 2" xfId="1169" xr:uid="{00000000-0005-0000-0000-00005B040000}"/>
    <cellStyle name="Normalny 10 4 2 2 2" xfId="1170" xr:uid="{00000000-0005-0000-0000-00005C040000}"/>
    <cellStyle name="Normalny 10 4 2 2 2 2" xfId="1171" xr:uid="{00000000-0005-0000-0000-00005D040000}"/>
    <cellStyle name="Normalny 10 4 2 2 2 2 2" xfId="1638" xr:uid="{00000000-0005-0000-0000-00005E040000}"/>
    <cellStyle name="Normalny 10 4 2 2 2 2 2 2" xfId="2753" xr:uid="{00000000-0005-0000-0000-00005F040000}"/>
    <cellStyle name="Normalny 10 4 2 2 2 2 3" xfId="2194" xr:uid="{00000000-0005-0000-0000-000060040000}"/>
    <cellStyle name="Normalny 10 4 2 2 2 3" xfId="1637" xr:uid="{00000000-0005-0000-0000-000061040000}"/>
    <cellStyle name="Normalny 10 4 2 2 2 3 2" xfId="2752" xr:uid="{00000000-0005-0000-0000-000062040000}"/>
    <cellStyle name="Normalny 10 4 2 2 2 4" xfId="2193" xr:uid="{00000000-0005-0000-0000-000063040000}"/>
    <cellStyle name="Normalny 10 4 2 2 3" xfId="1172" xr:uid="{00000000-0005-0000-0000-000064040000}"/>
    <cellStyle name="Normalny 10 4 2 2 3 2" xfId="1639" xr:uid="{00000000-0005-0000-0000-000065040000}"/>
    <cellStyle name="Normalny 10 4 2 2 3 2 2" xfId="2754" xr:uid="{00000000-0005-0000-0000-000066040000}"/>
    <cellStyle name="Normalny 10 4 2 2 3 3" xfId="2195" xr:uid="{00000000-0005-0000-0000-000067040000}"/>
    <cellStyle name="Normalny 10 4 2 2 4" xfId="1636" xr:uid="{00000000-0005-0000-0000-000068040000}"/>
    <cellStyle name="Normalny 10 4 2 2 4 2" xfId="2751" xr:uid="{00000000-0005-0000-0000-000069040000}"/>
    <cellStyle name="Normalny 10 4 2 2 5" xfId="2192" xr:uid="{00000000-0005-0000-0000-00006A040000}"/>
    <cellStyle name="Normalny 10 4 2 3" xfId="1173" xr:uid="{00000000-0005-0000-0000-00006B040000}"/>
    <cellStyle name="Normalny 10 4 2 3 2" xfId="1174" xr:uid="{00000000-0005-0000-0000-00006C040000}"/>
    <cellStyle name="Normalny 10 4 2 3 2 2" xfId="1641" xr:uid="{00000000-0005-0000-0000-00006D040000}"/>
    <cellStyle name="Normalny 10 4 2 3 2 2 2" xfId="2756" xr:uid="{00000000-0005-0000-0000-00006E040000}"/>
    <cellStyle name="Normalny 10 4 2 3 2 3" xfId="2197" xr:uid="{00000000-0005-0000-0000-00006F040000}"/>
    <cellStyle name="Normalny 10 4 2 3 3" xfId="1640" xr:uid="{00000000-0005-0000-0000-000070040000}"/>
    <cellStyle name="Normalny 10 4 2 3 3 2" xfId="2755" xr:uid="{00000000-0005-0000-0000-000071040000}"/>
    <cellStyle name="Normalny 10 4 2 3 4" xfId="2196" xr:uid="{00000000-0005-0000-0000-000072040000}"/>
    <cellStyle name="Normalny 10 4 2 4" xfId="1175" xr:uid="{00000000-0005-0000-0000-000073040000}"/>
    <cellStyle name="Normalny 10 4 2 4 2" xfId="1642" xr:uid="{00000000-0005-0000-0000-000074040000}"/>
    <cellStyle name="Normalny 10 4 2 4 2 2" xfId="2757" xr:uid="{00000000-0005-0000-0000-000075040000}"/>
    <cellStyle name="Normalny 10 4 2 4 3" xfId="2198" xr:uid="{00000000-0005-0000-0000-000076040000}"/>
    <cellStyle name="Normalny 10 4 2 5" xfId="1635" xr:uid="{00000000-0005-0000-0000-000077040000}"/>
    <cellStyle name="Normalny 10 4 2 5 2" xfId="2750" xr:uid="{00000000-0005-0000-0000-000078040000}"/>
    <cellStyle name="Normalny 10 4 2 6" xfId="2191" xr:uid="{00000000-0005-0000-0000-000079040000}"/>
    <cellStyle name="Normalny 10 4 3" xfId="1176" xr:uid="{00000000-0005-0000-0000-00007A040000}"/>
    <cellStyle name="Normalny 10 4 3 2" xfId="1177" xr:uid="{00000000-0005-0000-0000-00007B040000}"/>
    <cellStyle name="Normalny 10 4 3 2 2" xfId="1178" xr:uid="{00000000-0005-0000-0000-00007C040000}"/>
    <cellStyle name="Normalny 10 4 3 2 2 2" xfId="1645" xr:uid="{00000000-0005-0000-0000-00007D040000}"/>
    <cellStyle name="Normalny 10 4 3 2 2 2 2" xfId="2760" xr:uid="{00000000-0005-0000-0000-00007E040000}"/>
    <cellStyle name="Normalny 10 4 3 2 2 3" xfId="2201" xr:uid="{00000000-0005-0000-0000-00007F040000}"/>
    <cellStyle name="Normalny 10 4 3 2 3" xfId="1644" xr:uid="{00000000-0005-0000-0000-000080040000}"/>
    <cellStyle name="Normalny 10 4 3 2 3 2" xfId="2759" xr:uid="{00000000-0005-0000-0000-000081040000}"/>
    <cellStyle name="Normalny 10 4 3 2 4" xfId="2200" xr:uid="{00000000-0005-0000-0000-000082040000}"/>
    <cellStyle name="Normalny 10 4 3 3" xfId="1179" xr:uid="{00000000-0005-0000-0000-000083040000}"/>
    <cellStyle name="Normalny 10 4 3 3 2" xfId="1646" xr:uid="{00000000-0005-0000-0000-000084040000}"/>
    <cellStyle name="Normalny 10 4 3 3 2 2" xfId="2761" xr:uid="{00000000-0005-0000-0000-000085040000}"/>
    <cellStyle name="Normalny 10 4 3 3 3" xfId="2202" xr:uid="{00000000-0005-0000-0000-000086040000}"/>
    <cellStyle name="Normalny 10 4 3 4" xfId="1643" xr:uid="{00000000-0005-0000-0000-000087040000}"/>
    <cellStyle name="Normalny 10 4 3 4 2" xfId="2758" xr:uid="{00000000-0005-0000-0000-000088040000}"/>
    <cellStyle name="Normalny 10 4 3 5" xfId="2199" xr:uid="{00000000-0005-0000-0000-000089040000}"/>
    <cellStyle name="Normalny 10 4 4" xfId="1180" xr:uid="{00000000-0005-0000-0000-00008A040000}"/>
    <cellStyle name="Normalny 10 4 4 2" xfId="1181" xr:uid="{00000000-0005-0000-0000-00008B040000}"/>
    <cellStyle name="Normalny 10 4 4 2 2" xfId="1648" xr:uid="{00000000-0005-0000-0000-00008C040000}"/>
    <cellStyle name="Normalny 10 4 4 2 2 2" xfId="2763" xr:uid="{00000000-0005-0000-0000-00008D040000}"/>
    <cellStyle name="Normalny 10 4 4 2 3" xfId="2204" xr:uid="{00000000-0005-0000-0000-00008E040000}"/>
    <cellStyle name="Normalny 10 4 4 3" xfId="1647" xr:uid="{00000000-0005-0000-0000-00008F040000}"/>
    <cellStyle name="Normalny 10 4 4 3 2" xfId="2762" xr:uid="{00000000-0005-0000-0000-000090040000}"/>
    <cellStyle name="Normalny 10 4 4 4" xfId="2203" xr:uid="{00000000-0005-0000-0000-000091040000}"/>
    <cellStyle name="Normalny 10 4 5" xfId="1182" xr:uid="{00000000-0005-0000-0000-000092040000}"/>
    <cellStyle name="Normalny 10 4 5 2" xfId="1649" xr:uid="{00000000-0005-0000-0000-000093040000}"/>
    <cellStyle name="Normalny 10 4 5 2 2" xfId="2764" xr:uid="{00000000-0005-0000-0000-000094040000}"/>
    <cellStyle name="Normalny 10 4 5 3" xfId="2205" xr:uid="{00000000-0005-0000-0000-000095040000}"/>
    <cellStyle name="Normalny 10 4 6" xfId="1634" xr:uid="{00000000-0005-0000-0000-000096040000}"/>
    <cellStyle name="Normalny 10 4 6 2" xfId="2749" xr:uid="{00000000-0005-0000-0000-000097040000}"/>
    <cellStyle name="Normalny 10 4 7" xfId="2190" xr:uid="{00000000-0005-0000-0000-000098040000}"/>
    <cellStyle name="Normalny 10 5" xfId="1183" xr:uid="{00000000-0005-0000-0000-000099040000}"/>
    <cellStyle name="Normalny 10 5 2" xfId="1184" xr:uid="{00000000-0005-0000-0000-00009A040000}"/>
    <cellStyle name="Normalny 10 5 2 2" xfId="1185" xr:uid="{00000000-0005-0000-0000-00009B040000}"/>
    <cellStyle name="Normalny 10 5 2 2 2" xfId="1186" xr:uid="{00000000-0005-0000-0000-00009C040000}"/>
    <cellStyle name="Normalny 10 5 2 2 2 2" xfId="1653" xr:uid="{00000000-0005-0000-0000-00009D040000}"/>
    <cellStyle name="Normalny 10 5 2 2 2 2 2" xfId="2768" xr:uid="{00000000-0005-0000-0000-00009E040000}"/>
    <cellStyle name="Normalny 10 5 2 2 2 3" xfId="2209" xr:uid="{00000000-0005-0000-0000-00009F040000}"/>
    <cellStyle name="Normalny 10 5 2 2 3" xfId="1652" xr:uid="{00000000-0005-0000-0000-0000A0040000}"/>
    <cellStyle name="Normalny 10 5 2 2 3 2" xfId="2767" xr:uid="{00000000-0005-0000-0000-0000A1040000}"/>
    <cellStyle name="Normalny 10 5 2 2 4" xfId="2208" xr:uid="{00000000-0005-0000-0000-0000A2040000}"/>
    <cellStyle name="Normalny 10 5 2 3" xfId="1187" xr:uid="{00000000-0005-0000-0000-0000A3040000}"/>
    <cellStyle name="Normalny 10 5 2 3 2" xfId="1654" xr:uid="{00000000-0005-0000-0000-0000A4040000}"/>
    <cellStyle name="Normalny 10 5 2 3 2 2" xfId="2769" xr:uid="{00000000-0005-0000-0000-0000A5040000}"/>
    <cellStyle name="Normalny 10 5 2 3 3" xfId="2210" xr:uid="{00000000-0005-0000-0000-0000A6040000}"/>
    <cellStyle name="Normalny 10 5 2 4" xfId="1651" xr:uid="{00000000-0005-0000-0000-0000A7040000}"/>
    <cellStyle name="Normalny 10 5 2 4 2" xfId="2766" xr:uid="{00000000-0005-0000-0000-0000A8040000}"/>
    <cellStyle name="Normalny 10 5 2 5" xfId="2207" xr:uid="{00000000-0005-0000-0000-0000A9040000}"/>
    <cellStyle name="Normalny 10 5 3" xfId="1188" xr:uid="{00000000-0005-0000-0000-0000AA040000}"/>
    <cellStyle name="Normalny 10 5 3 2" xfId="1189" xr:uid="{00000000-0005-0000-0000-0000AB040000}"/>
    <cellStyle name="Normalny 10 5 3 2 2" xfId="1656" xr:uid="{00000000-0005-0000-0000-0000AC040000}"/>
    <cellStyle name="Normalny 10 5 3 2 2 2" xfId="2771" xr:uid="{00000000-0005-0000-0000-0000AD040000}"/>
    <cellStyle name="Normalny 10 5 3 2 3" xfId="2212" xr:uid="{00000000-0005-0000-0000-0000AE040000}"/>
    <cellStyle name="Normalny 10 5 3 3" xfId="1655" xr:uid="{00000000-0005-0000-0000-0000AF040000}"/>
    <cellStyle name="Normalny 10 5 3 3 2" xfId="2770" xr:uid="{00000000-0005-0000-0000-0000B0040000}"/>
    <cellStyle name="Normalny 10 5 3 4" xfId="2211" xr:uid="{00000000-0005-0000-0000-0000B1040000}"/>
    <cellStyle name="Normalny 10 5 4" xfId="1190" xr:uid="{00000000-0005-0000-0000-0000B2040000}"/>
    <cellStyle name="Normalny 10 5 4 2" xfId="1657" xr:uid="{00000000-0005-0000-0000-0000B3040000}"/>
    <cellStyle name="Normalny 10 5 4 2 2" xfId="2772" xr:uid="{00000000-0005-0000-0000-0000B4040000}"/>
    <cellStyle name="Normalny 10 5 4 3" xfId="2213" xr:uid="{00000000-0005-0000-0000-0000B5040000}"/>
    <cellStyle name="Normalny 10 5 5" xfId="1650" xr:uid="{00000000-0005-0000-0000-0000B6040000}"/>
    <cellStyle name="Normalny 10 5 5 2" xfId="2765" xr:uid="{00000000-0005-0000-0000-0000B7040000}"/>
    <cellStyle name="Normalny 10 5 6" xfId="2206" xr:uid="{00000000-0005-0000-0000-0000B8040000}"/>
    <cellStyle name="Normalny 10 6" xfId="1191" xr:uid="{00000000-0005-0000-0000-0000B9040000}"/>
    <cellStyle name="Normalny 10 6 2" xfId="1192" xr:uid="{00000000-0005-0000-0000-0000BA040000}"/>
    <cellStyle name="Normalny 10 6 2 2" xfId="1193" xr:uid="{00000000-0005-0000-0000-0000BB040000}"/>
    <cellStyle name="Normalny 10 6 2 2 2" xfId="1660" xr:uid="{00000000-0005-0000-0000-0000BC040000}"/>
    <cellStyle name="Normalny 10 6 2 2 2 2" xfId="2775" xr:uid="{00000000-0005-0000-0000-0000BD040000}"/>
    <cellStyle name="Normalny 10 6 2 2 3" xfId="2216" xr:uid="{00000000-0005-0000-0000-0000BE040000}"/>
    <cellStyle name="Normalny 10 6 2 3" xfId="1659" xr:uid="{00000000-0005-0000-0000-0000BF040000}"/>
    <cellStyle name="Normalny 10 6 2 3 2" xfId="2774" xr:uid="{00000000-0005-0000-0000-0000C0040000}"/>
    <cellStyle name="Normalny 10 6 2 4" xfId="2215" xr:uid="{00000000-0005-0000-0000-0000C1040000}"/>
    <cellStyle name="Normalny 10 6 3" xfId="1194" xr:uid="{00000000-0005-0000-0000-0000C2040000}"/>
    <cellStyle name="Normalny 10 6 3 2" xfId="1661" xr:uid="{00000000-0005-0000-0000-0000C3040000}"/>
    <cellStyle name="Normalny 10 6 3 2 2" xfId="2776" xr:uid="{00000000-0005-0000-0000-0000C4040000}"/>
    <cellStyle name="Normalny 10 6 3 3" xfId="2217" xr:uid="{00000000-0005-0000-0000-0000C5040000}"/>
    <cellStyle name="Normalny 10 6 4" xfId="1658" xr:uid="{00000000-0005-0000-0000-0000C6040000}"/>
    <cellStyle name="Normalny 10 6 4 2" xfId="2773" xr:uid="{00000000-0005-0000-0000-0000C7040000}"/>
    <cellStyle name="Normalny 10 6 5" xfId="2214" xr:uid="{00000000-0005-0000-0000-0000C8040000}"/>
    <cellStyle name="Normalny 10 7" xfId="1195" xr:uid="{00000000-0005-0000-0000-0000C9040000}"/>
    <cellStyle name="Normalny 10 7 2" xfId="1196" xr:uid="{00000000-0005-0000-0000-0000CA040000}"/>
    <cellStyle name="Normalny 10 7 2 2" xfId="1663" xr:uid="{00000000-0005-0000-0000-0000CB040000}"/>
    <cellStyle name="Normalny 10 7 2 2 2" xfId="2778" xr:uid="{00000000-0005-0000-0000-0000CC040000}"/>
    <cellStyle name="Normalny 10 7 2 3" xfId="2219" xr:uid="{00000000-0005-0000-0000-0000CD040000}"/>
    <cellStyle name="Normalny 10 7 3" xfId="1662" xr:uid="{00000000-0005-0000-0000-0000CE040000}"/>
    <cellStyle name="Normalny 10 7 3 2" xfId="2777" xr:uid="{00000000-0005-0000-0000-0000CF040000}"/>
    <cellStyle name="Normalny 10 7 4" xfId="2218" xr:uid="{00000000-0005-0000-0000-0000D0040000}"/>
    <cellStyle name="Normalny 10 8" xfId="1197" xr:uid="{00000000-0005-0000-0000-0000D1040000}"/>
    <cellStyle name="Normalny 10 8 2" xfId="1664" xr:uid="{00000000-0005-0000-0000-0000D2040000}"/>
    <cellStyle name="Normalny 10 8 2 2" xfId="2779" xr:uid="{00000000-0005-0000-0000-0000D3040000}"/>
    <cellStyle name="Normalny 10 8 3" xfId="2220" xr:uid="{00000000-0005-0000-0000-0000D4040000}"/>
    <cellStyle name="Normalny 10 9" xfId="1530" xr:uid="{00000000-0005-0000-0000-0000D5040000}"/>
    <cellStyle name="Normalny 10 9 2" xfId="2652" xr:uid="{00000000-0005-0000-0000-0000D6040000}"/>
    <cellStyle name="Normalny 11" xfId="272" xr:uid="{00000000-0005-0000-0000-0000D7040000}"/>
    <cellStyle name="Normalny 11 2" xfId="303" xr:uid="{00000000-0005-0000-0000-0000D8040000}"/>
    <cellStyle name="Normalny 11 2 2" xfId="687" xr:uid="{00000000-0005-0000-0000-0000D9040000}"/>
    <cellStyle name="Normalny 11 2 2 2" xfId="940" xr:uid="{00000000-0005-0000-0000-0000DA040000}"/>
    <cellStyle name="Normalny 11 2 3" xfId="1058" xr:uid="{00000000-0005-0000-0000-0000DB040000}"/>
    <cellStyle name="Normalny 11 2 4" xfId="827" xr:uid="{00000000-0005-0000-0000-0000DC040000}"/>
    <cellStyle name="Normalny 11 2 5" xfId="583" xr:uid="{00000000-0005-0000-0000-0000DD040000}"/>
    <cellStyle name="Normalny 11 3" xfId="631" xr:uid="{00000000-0005-0000-0000-0000DE040000}"/>
    <cellStyle name="Normalny 11 3 2" xfId="883" xr:uid="{00000000-0005-0000-0000-0000DF040000}"/>
    <cellStyle name="Normalny 11 3 2 2" xfId="1198" xr:uid="{00000000-0005-0000-0000-0000E0040000}"/>
    <cellStyle name="Normalny 11 3 2 2 2" xfId="1667" xr:uid="{00000000-0005-0000-0000-0000E1040000}"/>
    <cellStyle name="Normalny 11 3 2 2 2 2" xfId="2782" xr:uid="{00000000-0005-0000-0000-0000E2040000}"/>
    <cellStyle name="Normalny 11 3 2 2 3" xfId="2223" xr:uid="{00000000-0005-0000-0000-0000E3040000}"/>
    <cellStyle name="Normalny 11 3 2 3" xfId="1666" xr:uid="{00000000-0005-0000-0000-0000E4040000}"/>
    <cellStyle name="Normalny 11 3 2 3 2" xfId="2781" xr:uid="{00000000-0005-0000-0000-0000E5040000}"/>
    <cellStyle name="Normalny 11 3 2 4" xfId="2222" xr:uid="{00000000-0005-0000-0000-0000E6040000}"/>
    <cellStyle name="Normalny 11 3 3" xfId="1199" xr:uid="{00000000-0005-0000-0000-0000E7040000}"/>
    <cellStyle name="Normalny 11 3 3 2" xfId="1668" xr:uid="{00000000-0005-0000-0000-0000E8040000}"/>
    <cellStyle name="Normalny 11 3 3 2 2" xfId="2783" xr:uid="{00000000-0005-0000-0000-0000E9040000}"/>
    <cellStyle name="Normalny 11 3 3 3" xfId="2224" xr:uid="{00000000-0005-0000-0000-0000EA040000}"/>
    <cellStyle name="Normalny 11 3 4" xfId="1665" xr:uid="{00000000-0005-0000-0000-0000EB040000}"/>
    <cellStyle name="Normalny 11 3 4 2" xfId="2780" xr:uid="{00000000-0005-0000-0000-0000EC040000}"/>
    <cellStyle name="Normalny 11 3 5" xfId="2221" xr:uid="{00000000-0005-0000-0000-0000ED040000}"/>
    <cellStyle name="Normalny 11 4" xfId="1005" xr:uid="{00000000-0005-0000-0000-0000EE040000}"/>
    <cellStyle name="Normalny 11 4 2" xfId="1200" xr:uid="{00000000-0005-0000-0000-0000EF040000}"/>
    <cellStyle name="Normalny 11 4 2 2" xfId="1670" xr:uid="{00000000-0005-0000-0000-0000F0040000}"/>
    <cellStyle name="Normalny 11 4 2 2 2" xfId="2785" xr:uid="{00000000-0005-0000-0000-0000F1040000}"/>
    <cellStyle name="Normalny 11 4 2 3" xfId="2226" xr:uid="{00000000-0005-0000-0000-0000F2040000}"/>
    <cellStyle name="Normalny 11 4 3" xfId="1669" xr:uid="{00000000-0005-0000-0000-0000F3040000}"/>
    <cellStyle name="Normalny 11 4 3 2" xfId="2784" xr:uid="{00000000-0005-0000-0000-0000F4040000}"/>
    <cellStyle name="Normalny 11 4 4" xfId="2225" xr:uid="{00000000-0005-0000-0000-0000F5040000}"/>
    <cellStyle name="Normalny 11 5" xfId="775" xr:uid="{00000000-0005-0000-0000-0000F6040000}"/>
    <cellStyle name="Normalny 11 5 2" xfId="1671" xr:uid="{00000000-0005-0000-0000-0000F7040000}"/>
    <cellStyle name="Normalny 11 5 2 2" xfId="2786" xr:uid="{00000000-0005-0000-0000-0000F8040000}"/>
    <cellStyle name="Normalny 11 5 3" xfId="2227" xr:uid="{00000000-0005-0000-0000-0000F9040000}"/>
    <cellStyle name="Normalny 11 6" xfId="1546" xr:uid="{00000000-0005-0000-0000-0000FA040000}"/>
    <cellStyle name="Normalny 11 6 2" xfId="2661" xr:uid="{00000000-0005-0000-0000-0000FB040000}"/>
    <cellStyle name="Normalny 11 7" xfId="2102" xr:uid="{00000000-0005-0000-0000-0000FC040000}"/>
    <cellStyle name="Normalny 11 8" xfId="3204" xr:uid="{00000000-0005-0000-0000-0000FD040000}"/>
    <cellStyle name="Normalny 12" xfId="2" xr:uid="{00000000-0005-0000-0000-0000FE040000}"/>
    <cellStyle name="Normalny 12 2" xfId="282" xr:uid="{00000000-0005-0000-0000-0000FF040000}"/>
    <cellStyle name="Normalny 12 2 2" xfId="1202" xr:uid="{00000000-0005-0000-0000-000000050000}"/>
    <cellStyle name="Normalny 12 2 2 2" xfId="1203" xr:uid="{00000000-0005-0000-0000-000001050000}"/>
    <cellStyle name="Normalny 12 2 2 2 2" xfId="1675" xr:uid="{00000000-0005-0000-0000-000002050000}"/>
    <cellStyle name="Normalny 12 2 2 2 2 2" xfId="2790" xr:uid="{00000000-0005-0000-0000-000003050000}"/>
    <cellStyle name="Normalny 12 2 2 2 3" xfId="2231" xr:uid="{00000000-0005-0000-0000-000004050000}"/>
    <cellStyle name="Normalny 12 2 2 3" xfId="1674" xr:uid="{00000000-0005-0000-0000-000005050000}"/>
    <cellStyle name="Normalny 12 2 2 3 2" xfId="2789" xr:uid="{00000000-0005-0000-0000-000006050000}"/>
    <cellStyle name="Normalny 12 2 2 4" xfId="2230" xr:uid="{00000000-0005-0000-0000-000007050000}"/>
    <cellStyle name="Normalny 12 2 3" xfId="1204" xr:uid="{00000000-0005-0000-0000-000008050000}"/>
    <cellStyle name="Normalny 12 2 3 2" xfId="1676" xr:uid="{00000000-0005-0000-0000-000009050000}"/>
    <cellStyle name="Normalny 12 2 3 2 2" xfId="2791" xr:uid="{00000000-0005-0000-0000-00000A050000}"/>
    <cellStyle name="Normalny 12 2 3 3" xfId="2232" xr:uid="{00000000-0005-0000-0000-00000B050000}"/>
    <cellStyle name="Normalny 12 2 4" xfId="1673" xr:uid="{00000000-0005-0000-0000-00000C050000}"/>
    <cellStyle name="Normalny 12 2 4 2" xfId="2788" xr:uid="{00000000-0005-0000-0000-00000D050000}"/>
    <cellStyle name="Normalny 12 2 5" xfId="2229" xr:uid="{00000000-0005-0000-0000-00000E050000}"/>
    <cellStyle name="Normalny 12 2 6" xfId="1201" xr:uid="{00000000-0005-0000-0000-00000F050000}"/>
    <cellStyle name="Normalny 12 3" xfId="302" xr:uid="{00000000-0005-0000-0000-000010050000}"/>
    <cellStyle name="Normalny 12 3 2" xfId="1205" xr:uid="{00000000-0005-0000-0000-000011050000}"/>
    <cellStyle name="Normalny 12 3 2 2" xfId="1678" xr:uid="{00000000-0005-0000-0000-000012050000}"/>
    <cellStyle name="Normalny 12 3 2 2 2" xfId="2793" xr:uid="{00000000-0005-0000-0000-000013050000}"/>
    <cellStyle name="Normalny 12 3 2 3" xfId="2234" xr:uid="{00000000-0005-0000-0000-000014050000}"/>
    <cellStyle name="Normalny 12 3 3" xfId="1677" xr:uid="{00000000-0005-0000-0000-000015050000}"/>
    <cellStyle name="Normalny 12 3 3 2" xfId="2792" xr:uid="{00000000-0005-0000-0000-000016050000}"/>
    <cellStyle name="Normalny 12 3 4" xfId="2233" xr:uid="{00000000-0005-0000-0000-000017050000}"/>
    <cellStyle name="Normalny 12 4" xfId="1206" xr:uid="{00000000-0005-0000-0000-000018050000}"/>
    <cellStyle name="Normalny 12 4 2" xfId="1679" xr:uid="{00000000-0005-0000-0000-000019050000}"/>
    <cellStyle name="Normalny 12 4 2 2" xfId="2794" xr:uid="{00000000-0005-0000-0000-00001A050000}"/>
    <cellStyle name="Normalny 12 4 3" xfId="2235" xr:uid="{00000000-0005-0000-0000-00001B050000}"/>
    <cellStyle name="Normalny 12 5" xfId="1672" xr:uid="{00000000-0005-0000-0000-00001C050000}"/>
    <cellStyle name="Normalny 12 5 2" xfId="2787" xr:uid="{00000000-0005-0000-0000-00001D050000}"/>
    <cellStyle name="Normalny 12 6" xfId="2228" xr:uid="{00000000-0005-0000-0000-00001E050000}"/>
    <cellStyle name="Normalny 13" xfId="316" xr:uid="{00000000-0005-0000-0000-00001F050000}"/>
    <cellStyle name="Normalny 13 2" xfId="330" xr:uid="{00000000-0005-0000-0000-000020050000}"/>
    <cellStyle name="Normalny 13 2 2" xfId="653" xr:uid="{00000000-0005-0000-0000-000021050000}"/>
    <cellStyle name="Normalny 13 2 2 2" xfId="905" xr:uid="{00000000-0005-0000-0000-000022050000}"/>
    <cellStyle name="Normalny 13 2 2 2 2" xfId="1682" xr:uid="{00000000-0005-0000-0000-000023050000}"/>
    <cellStyle name="Normalny 13 2 2 2 2 2" xfId="2798" xr:uid="{00000000-0005-0000-0000-000024050000}"/>
    <cellStyle name="Normalny 13 2 2 2 3" xfId="2238" xr:uid="{00000000-0005-0000-0000-000025050000}"/>
    <cellStyle name="Normalny 13 2 2 3" xfId="1681" xr:uid="{00000000-0005-0000-0000-000026050000}"/>
    <cellStyle name="Normalny 13 2 2 3 2" xfId="2797" xr:uid="{00000000-0005-0000-0000-000027050000}"/>
    <cellStyle name="Normalny 13 2 2 4" xfId="2237" xr:uid="{00000000-0005-0000-0000-000028050000}"/>
    <cellStyle name="Normalny 13 2 3" xfId="1024" xr:uid="{00000000-0005-0000-0000-000029050000}"/>
    <cellStyle name="Normalny 13 2 3 2" xfId="1683" xr:uid="{00000000-0005-0000-0000-00002A050000}"/>
    <cellStyle name="Normalny 13 2 3 2 2" xfId="2799" xr:uid="{00000000-0005-0000-0000-00002B050000}"/>
    <cellStyle name="Normalny 13 2 3 3" xfId="2239" xr:uid="{00000000-0005-0000-0000-00002C050000}"/>
    <cellStyle name="Normalny 13 2 4" xfId="792" xr:uid="{00000000-0005-0000-0000-00002D050000}"/>
    <cellStyle name="Normalny 13 2 4 2" xfId="2796" xr:uid="{00000000-0005-0000-0000-00002E050000}"/>
    <cellStyle name="Normalny 13 2 5" xfId="554" xr:uid="{00000000-0005-0000-0000-00002F050000}"/>
    <cellStyle name="Normalny 13 3" xfId="600" xr:uid="{00000000-0005-0000-0000-000030050000}"/>
    <cellStyle name="Normalny 13 3 2" xfId="846" xr:uid="{00000000-0005-0000-0000-000031050000}"/>
    <cellStyle name="Normalny 13 3 2 2" xfId="1685" xr:uid="{00000000-0005-0000-0000-000032050000}"/>
    <cellStyle name="Normalny 13 3 2 2 2" xfId="2801" xr:uid="{00000000-0005-0000-0000-000033050000}"/>
    <cellStyle name="Normalny 13 3 2 3" xfId="2241" xr:uid="{00000000-0005-0000-0000-000034050000}"/>
    <cellStyle name="Normalny 13 3 3" xfId="1684" xr:uid="{00000000-0005-0000-0000-000035050000}"/>
    <cellStyle name="Normalny 13 3 3 2" xfId="2800" xr:uid="{00000000-0005-0000-0000-000036050000}"/>
    <cellStyle name="Normalny 13 3 4" xfId="2240" xr:uid="{00000000-0005-0000-0000-000037050000}"/>
    <cellStyle name="Normalny 13 4" xfId="970" xr:uid="{00000000-0005-0000-0000-000038050000}"/>
    <cellStyle name="Normalny 13 4 2" xfId="1686" xr:uid="{00000000-0005-0000-0000-000039050000}"/>
    <cellStyle name="Normalny 13 4 2 2" xfId="2802" xr:uid="{00000000-0005-0000-0000-00003A050000}"/>
    <cellStyle name="Normalny 13 4 3" xfId="2242" xr:uid="{00000000-0005-0000-0000-00003B050000}"/>
    <cellStyle name="Normalny 13 5" xfId="741" xr:uid="{00000000-0005-0000-0000-00003C050000}"/>
    <cellStyle name="Normalny 13 5 2" xfId="2795" xr:uid="{00000000-0005-0000-0000-00003D050000}"/>
    <cellStyle name="Normalny 13 6" xfId="435" xr:uid="{00000000-0005-0000-0000-00003E050000}"/>
    <cellStyle name="Normalny 14" xfId="704" xr:uid="{00000000-0005-0000-0000-00003F050000}"/>
    <cellStyle name="Normalny 14 2" xfId="957" xr:uid="{00000000-0005-0000-0000-000040050000}"/>
    <cellStyle name="Normalny 14 2 2" xfId="1688" xr:uid="{00000000-0005-0000-0000-000041050000}"/>
    <cellStyle name="Normalny 14 2 2 2" xfId="2804" xr:uid="{00000000-0005-0000-0000-000042050000}"/>
    <cellStyle name="Normalny 14 2 3" xfId="2244" xr:uid="{00000000-0005-0000-0000-000043050000}"/>
    <cellStyle name="Normalny 14 3" xfId="1687" xr:uid="{00000000-0005-0000-0000-000044050000}"/>
    <cellStyle name="Normalny 14 3 2" xfId="2803" xr:uid="{00000000-0005-0000-0000-000045050000}"/>
    <cellStyle name="Normalny 14 4" xfId="2243" xr:uid="{00000000-0005-0000-0000-000046050000}"/>
    <cellStyle name="Normalny 15" xfId="729" xr:uid="{00000000-0005-0000-0000-000047050000}"/>
    <cellStyle name="Normalny 15 2" xfId="1207" xr:uid="{00000000-0005-0000-0000-000048050000}"/>
    <cellStyle name="Normalny 16" xfId="1075" xr:uid="{00000000-0005-0000-0000-000049050000}"/>
    <cellStyle name="Normalny 16 2" xfId="2017" xr:uid="{00000000-0005-0000-0000-00004A050000}"/>
    <cellStyle name="Normalny 16 2 2" xfId="3135" xr:uid="{00000000-0005-0000-0000-00004B050000}"/>
    <cellStyle name="Normalny 16 3" xfId="2575" xr:uid="{00000000-0005-0000-0000-00004C050000}"/>
    <cellStyle name="Normalny 16 4" xfId="1452" xr:uid="{00000000-0005-0000-0000-00004D050000}"/>
    <cellStyle name="Normalny 17" xfId="1076" xr:uid="{00000000-0005-0000-0000-00004E050000}"/>
    <cellStyle name="Normalny 17 2" xfId="1086" xr:uid="{00000000-0005-0000-0000-00004F050000}"/>
    <cellStyle name="Normalny 17 2 2" xfId="3145" xr:uid="{00000000-0005-0000-0000-000050050000}"/>
    <cellStyle name="Normalny 17 2 3" xfId="3155" xr:uid="{00000000-0005-0000-0000-000051050000}"/>
    <cellStyle name="Normalny 17 2 4" xfId="3165" xr:uid="{00000000-0005-0000-0000-000052050000}"/>
    <cellStyle name="Normalny 17 2 5" xfId="3175" xr:uid="{00000000-0005-0000-0000-000053050000}"/>
    <cellStyle name="Normalny 18" xfId="716" xr:uid="{00000000-0005-0000-0000-000054050000}"/>
    <cellStyle name="Normalny 19" xfId="1082" xr:uid="{00000000-0005-0000-0000-000055050000}"/>
    <cellStyle name="Normalny 19 2" xfId="3141" xr:uid="{00000000-0005-0000-0000-000056050000}"/>
    <cellStyle name="Normalny 19 3" xfId="3151" xr:uid="{00000000-0005-0000-0000-000057050000}"/>
    <cellStyle name="Normalny 19 4" xfId="3161" xr:uid="{00000000-0005-0000-0000-000058050000}"/>
    <cellStyle name="Normalny 19 5" xfId="3171" xr:uid="{00000000-0005-0000-0000-000059050000}"/>
    <cellStyle name="Normalny 2" xfId="3" xr:uid="{00000000-0005-0000-0000-00005A050000}"/>
    <cellStyle name="Normalny 2 2" xfId="149" xr:uid="{00000000-0005-0000-0000-00005B050000}"/>
    <cellStyle name="Normalny 2 2 2" xfId="279" xr:uid="{00000000-0005-0000-0000-00005C050000}"/>
    <cellStyle name="Normalny 2 2 2 2" xfId="511" xr:uid="{00000000-0005-0000-0000-00005D050000}"/>
    <cellStyle name="Normalny 2 2 3" xfId="484" xr:uid="{00000000-0005-0000-0000-00005E050000}"/>
    <cellStyle name="Normalny 2 2 4" xfId="706" xr:uid="{00000000-0005-0000-0000-00005F050000}"/>
    <cellStyle name="Normalny 2 2 5" xfId="373" xr:uid="{00000000-0005-0000-0000-000060050000}"/>
    <cellStyle name="Normalny 2 3" xfId="196" xr:uid="{00000000-0005-0000-0000-000061050000}"/>
    <cellStyle name="Normalny 2 3 2" xfId="286" xr:uid="{00000000-0005-0000-0000-000062050000}"/>
    <cellStyle name="Normalny 2 3 2 2" xfId="531" xr:uid="{00000000-0005-0000-0000-000063050000}"/>
    <cellStyle name="Normalny 2 3 3" xfId="3190" xr:uid="{00000000-0005-0000-0000-000064050000}"/>
    <cellStyle name="Normalny 2 4" xfId="203" xr:uid="{00000000-0005-0000-0000-000065050000}"/>
    <cellStyle name="Normalny 2 4 2" xfId="535" xr:uid="{00000000-0005-0000-0000-000066050000}"/>
    <cellStyle name="Normalny 2 4 3" xfId="456" xr:uid="{00000000-0005-0000-0000-000067050000}"/>
    <cellStyle name="Normalny 2 4 4" xfId="3191" xr:uid="{00000000-0005-0000-0000-000068050000}"/>
    <cellStyle name="Normalny 2 5" xfId="99" xr:uid="{00000000-0005-0000-0000-000069050000}"/>
    <cellStyle name="Normalny 2 5 2" xfId="1531" xr:uid="{00000000-0005-0000-0000-00006A050000}"/>
    <cellStyle name="Normalny 2 6" xfId="275" xr:uid="{00000000-0005-0000-0000-00006B050000}"/>
    <cellStyle name="Normalny 2 6 2" xfId="958" xr:uid="{00000000-0005-0000-0000-00006C050000}"/>
    <cellStyle name="Normalny 2 6 3" xfId="705" xr:uid="{00000000-0005-0000-0000-00006D050000}"/>
    <cellStyle name="Normalny 2 7" xfId="278" xr:uid="{00000000-0005-0000-0000-00006E050000}"/>
    <cellStyle name="Normalny 20" xfId="3208" xr:uid="{3D3E4128-7EA0-46AA-8827-3C7C9A1E88D8}"/>
    <cellStyle name="Normalny 3" xfId="4" xr:uid="{00000000-0005-0000-0000-00006F050000}"/>
    <cellStyle name="Normalny 3 2" xfId="144" xr:uid="{00000000-0005-0000-0000-000070050000}"/>
    <cellStyle name="Normalny 3 2 2" xfId="290" xr:uid="{00000000-0005-0000-0000-000071050000}"/>
    <cellStyle name="Normalny 3 2 2 2" xfId="1534" xr:uid="{00000000-0005-0000-0000-000072050000}"/>
    <cellStyle name="Normalny 3 2 2 3" xfId="3139" xr:uid="{00000000-0005-0000-0000-000073050000}"/>
    <cellStyle name="Normalny 3 2 2 4" xfId="3137" xr:uid="{00000000-0005-0000-0000-000074050000}"/>
    <cellStyle name="Normalny 3 2 3" xfId="372" xr:uid="{00000000-0005-0000-0000-000075050000}"/>
    <cellStyle name="Normalny 3 2 4" xfId="3192" xr:uid="{00000000-0005-0000-0000-000076050000}"/>
    <cellStyle name="Normalny 3 3" xfId="287" xr:uid="{00000000-0005-0000-0000-000077050000}"/>
    <cellStyle name="Normalny 3 3 10" xfId="2245" xr:uid="{00000000-0005-0000-0000-000078050000}"/>
    <cellStyle name="Normalny 3 3 2" xfId="293" xr:uid="{00000000-0005-0000-0000-000079050000}"/>
    <cellStyle name="Normalny 3 3 2 2" xfId="300" xr:uid="{00000000-0005-0000-0000-00007A050000}"/>
    <cellStyle name="Normalny 3 3 2 2 2" xfId="1208" xr:uid="{00000000-0005-0000-0000-00007B050000}"/>
    <cellStyle name="Normalny 3 3 2 2 2 2" xfId="1209" xr:uid="{00000000-0005-0000-0000-00007C050000}"/>
    <cellStyle name="Normalny 3 3 2 2 2 2 2" xfId="1210" xr:uid="{00000000-0005-0000-0000-00007D050000}"/>
    <cellStyle name="Normalny 3 3 2 2 2 2 2 2" xfId="1694" xr:uid="{00000000-0005-0000-0000-00007E050000}"/>
    <cellStyle name="Normalny 3 3 2 2 2 2 2 2 2" xfId="2810" xr:uid="{00000000-0005-0000-0000-00007F050000}"/>
    <cellStyle name="Normalny 3 3 2 2 2 2 2 3" xfId="2250" xr:uid="{00000000-0005-0000-0000-000080050000}"/>
    <cellStyle name="Normalny 3 3 2 2 2 2 3" xfId="1693" xr:uid="{00000000-0005-0000-0000-000081050000}"/>
    <cellStyle name="Normalny 3 3 2 2 2 2 3 2" xfId="2809" xr:uid="{00000000-0005-0000-0000-000082050000}"/>
    <cellStyle name="Normalny 3 3 2 2 2 2 4" xfId="2249" xr:uid="{00000000-0005-0000-0000-000083050000}"/>
    <cellStyle name="Normalny 3 3 2 2 2 3" xfId="1211" xr:uid="{00000000-0005-0000-0000-000084050000}"/>
    <cellStyle name="Normalny 3 3 2 2 2 3 2" xfId="1695" xr:uid="{00000000-0005-0000-0000-000085050000}"/>
    <cellStyle name="Normalny 3 3 2 2 2 3 2 2" xfId="2811" xr:uid="{00000000-0005-0000-0000-000086050000}"/>
    <cellStyle name="Normalny 3 3 2 2 2 3 3" xfId="2251" xr:uid="{00000000-0005-0000-0000-000087050000}"/>
    <cellStyle name="Normalny 3 3 2 2 2 4" xfId="1692" xr:uid="{00000000-0005-0000-0000-000088050000}"/>
    <cellStyle name="Normalny 3 3 2 2 2 4 2" xfId="2808" xr:uid="{00000000-0005-0000-0000-000089050000}"/>
    <cellStyle name="Normalny 3 3 2 2 2 5" xfId="2248" xr:uid="{00000000-0005-0000-0000-00008A050000}"/>
    <cellStyle name="Normalny 3 3 2 2 3" xfId="1212" xr:uid="{00000000-0005-0000-0000-00008B050000}"/>
    <cellStyle name="Normalny 3 3 2 2 3 2" xfId="1213" xr:uid="{00000000-0005-0000-0000-00008C050000}"/>
    <cellStyle name="Normalny 3 3 2 2 3 2 2" xfId="1697" xr:uid="{00000000-0005-0000-0000-00008D050000}"/>
    <cellStyle name="Normalny 3 3 2 2 3 2 2 2" xfId="2813" xr:uid="{00000000-0005-0000-0000-00008E050000}"/>
    <cellStyle name="Normalny 3 3 2 2 3 2 3" xfId="2253" xr:uid="{00000000-0005-0000-0000-00008F050000}"/>
    <cellStyle name="Normalny 3 3 2 2 3 3" xfId="1696" xr:uid="{00000000-0005-0000-0000-000090050000}"/>
    <cellStyle name="Normalny 3 3 2 2 3 3 2" xfId="2812" xr:uid="{00000000-0005-0000-0000-000091050000}"/>
    <cellStyle name="Normalny 3 3 2 2 3 4" xfId="2252" xr:uid="{00000000-0005-0000-0000-000092050000}"/>
    <cellStyle name="Normalny 3 3 2 2 4" xfId="1214" xr:uid="{00000000-0005-0000-0000-000093050000}"/>
    <cellStyle name="Normalny 3 3 2 2 4 2" xfId="1698" xr:uid="{00000000-0005-0000-0000-000094050000}"/>
    <cellStyle name="Normalny 3 3 2 2 4 2 2" xfId="2814" xr:uid="{00000000-0005-0000-0000-000095050000}"/>
    <cellStyle name="Normalny 3 3 2 2 4 3" xfId="2254" xr:uid="{00000000-0005-0000-0000-000096050000}"/>
    <cellStyle name="Normalny 3 3 2 2 5" xfId="1691" xr:uid="{00000000-0005-0000-0000-000097050000}"/>
    <cellStyle name="Normalny 3 3 2 2 5 2" xfId="2807" xr:uid="{00000000-0005-0000-0000-000098050000}"/>
    <cellStyle name="Normalny 3 3 2 2 6" xfId="2247" xr:uid="{00000000-0005-0000-0000-000099050000}"/>
    <cellStyle name="Normalny 3 3 2 3" xfId="309" xr:uid="{00000000-0005-0000-0000-00009A050000}"/>
    <cellStyle name="Normalny 3 3 2 3 2" xfId="1215" xr:uid="{00000000-0005-0000-0000-00009B050000}"/>
    <cellStyle name="Normalny 3 3 2 3 2 2" xfId="1216" xr:uid="{00000000-0005-0000-0000-00009C050000}"/>
    <cellStyle name="Normalny 3 3 2 3 2 2 2" xfId="1217" xr:uid="{00000000-0005-0000-0000-00009D050000}"/>
    <cellStyle name="Normalny 3 3 2 3 2 2 2 2" xfId="1702" xr:uid="{00000000-0005-0000-0000-00009E050000}"/>
    <cellStyle name="Normalny 3 3 2 3 2 2 2 2 2" xfId="2818" xr:uid="{00000000-0005-0000-0000-00009F050000}"/>
    <cellStyle name="Normalny 3 3 2 3 2 2 2 3" xfId="2258" xr:uid="{00000000-0005-0000-0000-0000A0050000}"/>
    <cellStyle name="Normalny 3 3 2 3 2 2 3" xfId="1701" xr:uid="{00000000-0005-0000-0000-0000A1050000}"/>
    <cellStyle name="Normalny 3 3 2 3 2 2 3 2" xfId="2817" xr:uid="{00000000-0005-0000-0000-0000A2050000}"/>
    <cellStyle name="Normalny 3 3 2 3 2 2 4" xfId="2257" xr:uid="{00000000-0005-0000-0000-0000A3050000}"/>
    <cellStyle name="Normalny 3 3 2 3 2 3" xfId="1218" xr:uid="{00000000-0005-0000-0000-0000A4050000}"/>
    <cellStyle name="Normalny 3 3 2 3 2 3 2" xfId="1703" xr:uid="{00000000-0005-0000-0000-0000A5050000}"/>
    <cellStyle name="Normalny 3 3 2 3 2 3 2 2" xfId="2819" xr:uid="{00000000-0005-0000-0000-0000A6050000}"/>
    <cellStyle name="Normalny 3 3 2 3 2 3 3" xfId="2259" xr:uid="{00000000-0005-0000-0000-0000A7050000}"/>
    <cellStyle name="Normalny 3 3 2 3 2 4" xfId="1700" xr:uid="{00000000-0005-0000-0000-0000A8050000}"/>
    <cellStyle name="Normalny 3 3 2 3 2 4 2" xfId="2816" xr:uid="{00000000-0005-0000-0000-0000A9050000}"/>
    <cellStyle name="Normalny 3 3 2 3 2 5" xfId="2256" xr:uid="{00000000-0005-0000-0000-0000AA050000}"/>
    <cellStyle name="Normalny 3 3 2 3 3" xfId="1219" xr:uid="{00000000-0005-0000-0000-0000AB050000}"/>
    <cellStyle name="Normalny 3 3 2 3 3 2" xfId="1220" xr:uid="{00000000-0005-0000-0000-0000AC050000}"/>
    <cellStyle name="Normalny 3 3 2 3 3 2 2" xfId="1705" xr:uid="{00000000-0005-0000-0000-0000AD050000}"/>
    <cellStyle name="Normalny 3 3 2 3 3 2 2 2" xfId="2821" xr:uid="{00000000-0005-0000-0000-0000AE050000}"/>
    <cellStyle name="Normalny 3 3 2 3 3 2 3" xfId="2261" xr:uid="{00000000-0005-0000-0000-0000AF050000}"/>
    <cellStyle name="Normalny 3 3 2 3 3 3" xfId="1704" xr:uid="{00000000-0005-0000-0000-0000B0050000}"/>
    <cellStyle name="Normalny 3 3 2 3 3 3 2" xfId="2820" xr:uid="{00000000-0005-0000-0000-0000B1050000}"/>
    <cellStyle name="Normalny 3 3 2 3 3 4" xfId="2260" xr:uid="{00000000-0005-0000-0000-0000B2050000}"/>
    <cellStyle name="Normalny 3 3 2 3 4" xfId="1221" xr:uid="{00000000-0005-0000-0000-0000B3050000}"/>
    <cellStyle name="Normalny 3 3 2 3 4 2" xfId="1706" xr:uid="{00000000-0005-0000-0000-0000B4050000}"/>
    <cellStyle name="Normalny 3 3 2 3 4 2 2" xfId="2822" xr:uid="{00000000-0005-0000-0000-0000B5050000}"/>
    <cellStyle name="Normalny 3 3 2 3 4 3" xfId="2262" xr:uid="{00000000-0005-0000-0000-0000B6050000}"/>
    <cellStyle name="Normalny 3 3 2 3 5" xfId="1699" xr:uid="{00000000-0005-0000-0000-0000B7050000}"/>
    <cellStyle name="Normalny 3 3 2 3 5 2" xfId="2815" xr:uid="{00000000-0005-0000-0000-0000B8050000}"/>
    <cellStyle name="Normalny 3 3 2 3 6" xfId="2255" xr:uid="{00000000-0005-0000-0000-0000B9050000}"/>
    <cellStyle name="Normalny 3 3 2 4" xfId="509" xr:uid="{00000000-0005-0000-0000-0000BA050000}"/>
    <cellStyle name="Normalny 3 3 2 4 2" xfId="1223" xr:uid="{00000000-0005-0000-0000-0000BB050000}"/>
    <cellStyle name="Normalny 3 3 2 4 2 2" xfId="1224" xr:uid="{00000000-0005-0000-0000-0000BC050000}"/>
    <cellStyle name="Normalny 3 3 2 4 2 2 2" xfId="1225" xr:uid="{00000000-0005-0000-0000-0000BD050000}"/>
    <cellStyle name="Normalny 3 3 2 4 2 2 2 2" xfId="1710" xr:uid="{00000000-0005-0000-0000-0000BE050000}"/>
    <cellStyle name="Normalny 3 3 2 4 2 2 2 2 2" xfId="2826" xr:uid="{00000000-0005-0000-0000-0000BF050000}"/>
    <cellStyle name="Normalny 3 3 2 4 2 2 2 3" xfId="2266" xr:uid="{00000000-0005-0000-0000-0000C0050000}"/>
    <cellStyle name="Normalny 3 3 2 4 2 2 3" xfId="1709" xr:uid="{00000000-0005-0000-0000-0000C1050000}"/>
    <cellStyle name="Normalny 3 3 2 4 2 2 3 2" xfId="2825" xr:uid="{00000000-0005-0000-0000-0000C2050000}"/>
    <cellStyle name="Normalny 3 3 2 4 2 2 4" xfId="2265" xr:uid="{00000000-0005-0000-0000-0000C3050000}"/>
    <cellStyle name="Normalny 3 3 2 4 2 3" xfId="1226" xr:uid="{00000000-0005-0000-0000-0000C4050000}"/>
    <cellStyle name="Normalny 3 3 2 4 2 3 2" xfId="1711" xr:uid="{00000000-0005-0000-0000-0000C5050000}"/>
    <cellStyle name="Normalny 3 3 2 4 2 3 2 2" xfId="2827" xr:uid="{00000000-0005-0000-0000-0000C6050000}"/>
    <cellStyle name="Normalny 3 3 2 4 2 3 3" xfId="2267" xr:uid="{00000000-0005-0000-0000-0000C7050000}"/>
    <cellStyle name="Normalny 3 3 2 4 2 4" xfId="1708" xr:uid="{00000000-0005-0000-0000-0000C8050000}"/>
    <cellStyle name="Normalny 3 3 2 4 2 4 2" xfId="2824" xr:uid="{00000000-0005-0000-0000-0000C9050000}"/>
    <cellStyle name="Normalny 3 3 2 4 2 5" xfId="2264" xr:uid="{00000000-0005-0000-0000-0000CA050000}"/>
    <cellStyle name="Normalny 3 3 2 4 3" xfId="1227" xr:uid="{00000000-0005-0000-0000-0000CB050000}"/>
    <cellStyle name="Normalny 3 3 2 4 3 2" xfId="1228" xr:uid="{00000000-0005-0000-0000-0000CC050000}"/>
    <cellStyle name="Normalny 3 3 2 4 3 2 2" xfId="1713" xr:uid="{00000000-0005-0000-0000-0000CD050000}"/>
    <cellStyle name="Normalny 3 3 2 4 3 2 2 2" xfId="2829" xr:uid="{00000000-0005-0000-0000-0000CE050000}"/>
    <cellStyle name="Normalny 3 3 2 4 3 2 3" xfId="2269" xr:uid="{00000000-0005-0000-0000-0000CF050000}"/>
    <cellStyle name="Normalny 3 3 2 4 3 3" xfId="1712" xr:uid="{00000000-0005-0000-0000-0000D0050000}"/>
    <cellStyle name="Normalny 3 3 2 4 3 3 2" xfId="2828" xr:uid="{00000000-0005-0000-0000-0000D1050000}"/>
    <cellStyle name="Normalny 3 3 2 4 3 4" xfId="2268" xr:uid="{00000000-0005-0000-0000-0000D2050000}"/>
    <cellStyle name="Normalny 3 3 2 4 4" xfId="1229" xr:uid="{00000000-0005-0000-0000-0000D3050000}"/>
    <cellStyle name="Normalny 3 3 2 4 4 2" xfId="1714" xr:uid="{00000000-0005-0000-0000-0000D4050000}"/>
    <cellStyle name="Normalny 3 3 2 4 4 2 2" xfId="2830" xr:uid="{00000000-0005-0000-0000-0000D5050000}"/>
    <cellStyle name="Normalny 3 3 2 4 4 3" xfId="2270" xr:uid="{00000000-0005-0000-0000-0000D6050000}"/>
    <cellStyle name="Normalny 3 3 2 4 5" xfId="1707" xr:uid="{00000000-0005-0000-0000-0000D7050000}"/>
    <cellStyle name="Normalny 3 3 2 4 5 2" xfId="2823" xr:uid="{00000000-0005-0000-0000-0000D8050000}"/>
    <cellStyle name="Normalny 3 3 2 4 6" xfId="2263" xr:uid="{00000000-0005-0000-0000-0000D9050000}"/>
    <cellStyle name="Normalny 3 3 2 4 7" xfId="1222" xr:uid="{00000000-0005-0000-0000-0000DA050000}"/>
    <cellStyle name="Normalny 3 3 2 5" xfId="1230" xr:uid="{00000000-0005-0000-0000-0000DB050000}"/>
    <cellStyle name="Normalny 3 3 2 5 2" xfId="1231" xr:uid="{00000000-0005-0000-0000-0000DC050000}"/>
    <cellStyle name="Normalny 3 3 2 5 2 2" xfId="1232" xr:uid="{00000000-0005-0000-0000-0000DD050000}"/>
    <cellStyle name="Normalny 3 3 2 5 2 2 2" xfId="1717" xr:uid="{00000000-0005-0000-0000-0000DE050000}"/>
    <cellStyle name="Normalny 3 3 2 5 2 2 2 2" xfId="2833" xr:uid="{00000000-0005-0000-0000-0000DF050000}"/>
    <cellStyle name="Normalny 3 3 2 5 2 2 3" xfId="2273" xr:uid="{00000000-0005-0000-0000-0000E0050000}"/>
    <cellStyle name="Normalny 3 3 2 5 2 3" xfId="1716" xr:uid="{00000000-0005-0000-0000-0000E1050000}"/>
    <cellStyle name="Normalny 3 3 2 5 2 3 2" xfId="2832" xr:uid="{00000000-0005-0000-0000-0000E2050000}"/>
    <cellStyle name="Normalny 3 3 2 5 2 4" xfId="2272" xr:uid="{00000000-0005-0000-0000-0000E3050000}"/>
    <cellStyle name="Normalny 3 3 2 5 3" xfId="1233" xr:uid="{00000000-0005-0000-0000-0000E4050000}"/>
    <cellStyle name="Normalny 3 3 2 5 3 2" xfId="1718" xr:uid="{00000000-0005-0000-0000-0000E5050000}"/>
    <cellStyle name="Normalny 3 3 2 5 3 2 2" xfId="2834" xr:uid="{00000000-0005-0000-0000-0000E6050000}"/>
    <cellStyle name="Normalny 3 3 2 5 3 3" xfId="2274" xr:uid="{00000000-0005-0000-0000-0000E7050000}"/>
    <cellStyle name="Normalny 3 3 2 5 4" xfId="1715" xr:uid="{00000000-0005-0000-0000-0000E8050000}"/>
    <cellStyle name="Normalny 3 3 2 5 4 2" xfId="2831" xr:uid="{00000000-0005-0000-0000-0000E9050000}"/>
    <cellStyle name="Normalny 3 3 2 5 5" xfId="2271" xr:uid="{00000000-0005-0000-0000-0000EA050000}"/>
    <cellStyle name="Normalny 3 3 2 6" xfId="1234" xr:uid="{00000000-0005-0000-0000-0000EB050000}"/>
    <cellStyle name="Normalny 3 3 2 6 2" xfId="1235" xr:uid="{00000000-0005-0000-0000-0000EC050000}"/>
    <cellStyle name="Normalny 3 3 2 6 2 2" xfId="1720" xr:uid="{00000000-0005-0000-0000-0000ED050000}"/>
    <cellStyle name="Normalny 3 3 2 6 2 2 2" xfId="2836" xr:uid="{00000000-0005-0000-0000-0000EE050000}"/>
    <cellStyle name="Normalny 3 3 2 6 2 3" xfId="2276" xr:uid="{00000000-0005-0000-0000-0000EF050000}"/>
    <cellStyle name="Normalny 3 3 2 6 3" xfId="1719" xr:uid="{00000000-0005-0000-0000-0000F0050000}"/>
    <cellStyle name="Normalny 3 3 2 6 3 2" xfId="2835" xr:uid="{00000000-0005-0000-0000-0000F1050000}"/>
    <cellStyle name="Normalny 3 3 2 6 4" xfId="2275" xr:uid="{00000000-0005-0000-0000-0000F2050000}"/>
    <cellStyle name="Normalny 3 3 2 7" xfId="1236" xr:uid="{00000000-0005-0000-0000-0000F3050000}"/>
    <cellStyle name="Normalny 3 3 2 7 2" xfId="1721" xr:uid="{00000000-0005-0000-0000-0000F4050000}"/>
    <cellStyle name="Normalny 3 3 2 7 2 2" xfId="2837" xr:uid="{00000000-0005-0000-0000-0000F5050000}"/>
    <cellStyle name="Normalny 3 3 2 7 3" xfId="2277" xr:uid="{00000000-0005-0000-0000-0000F6050000}"/>
    <cellStyle name="Normalny 3 3 2 8" xfId="1690" xr:uid="{00000000-0005-0000-0000-0000F7050000}"/>
    <cellStyle name="Normalny 3 3 2 8 2" xfId="2806" xr:uid="{00000000-0005-0000-0000-0000F8050000}"/>
    <cellStyle name="Normalny 3 3 2 9" xfId="2246" xr:uid="{00000000-0005-0000-0000-0000F9050000}"/>
    <cellStyle name="Normalny 3 3 3" xfId="298" xr:uid="{00000000-0005-0000-0000-0000FA050000}"/>
    <cellStyle name="Normalny 3 3 3 2" xfId="1237" xr:uid="{00000000-0005-0000-0000-0000FB050000}"/>
    <cellStyle name="Normalny 3 3 3 2 2" xfId="1238" xr:uid="{00000000-0005-0000-0000-0000FC050000}"/>
    <cellStyle name="Normalny 3 3 3 2 2 2" xfId="1239" xr:uid="{00000000-0005-0000-0000-0000FD050000}"/>
    <cellStyle name="Normalny 3 3 3 2 2 2 2" xfId="1725" xr:uid="{00000000-0005-0000-0000-0000FE050000}"/>
    <cellStyle name="Normalny 3 3 3 2 2 2 2 2" xfId="2841" xr:uid="{00000000-0005-0000-0000-0000FF050000}"/>
    <cellStyle name="Normalny 3 3 3 2 2 2 3" xfId="2281" xr:uid="{00000000-0005-0000-0000-000000060000}"/>
    <cellStyle name="Normalny 3 3 3 2 2 3" xfId="1724" xr:uid="{00000000-0005-0000-0000-000001060000}"/>
    <cellStyle name="Normalny 3 3 3 2 2 3 2" xfId="2840" xr:uid="{00000000-0005-0000-0000-000002060000}"/>
    <cellStyle name="Normalny 3 3 3 2 2 4" xfId="2280" xr:uid="{00000000-0005-0000-0000-000003060000}"/>
    <cellStyle name="Normalny 3 3 3 2 3" xfId="1240" xr:uid="{00000000-0005-0000-0000-000004060000}"/>
    <cellStyle name="Normalny 3 3 3 2 3 2" xfId="1726" xr:uid="{00000000-0005-0000-0000-000005060000}"/>
    <cellStyle name="Normalny 3 3 3 2 3 2 2" xfId="2842" xr:uid="{00000000-0005-0000-0000-000006060000}"/>
    <cellStyle name="Normalny 3 3 3 2 3 3" xfId="2282" xr:uid="{00000000-0005-0000-0000-000007060000}"/>
    <cellStyle name="Normalny 3 3 3 2 4" xfId="1723" xr:uid="{00000000-0005-0000-0000-000008060000}"/>
    <cellStyle name="Normalny 3 3 3 2 4 2" xfId="2839" xr:uid="{00000000-0005-0000-0000-000009060000}"/>
    <cellStyle name="Normalny 3 3 3 2 5" xfId="2279" xr:uid="{00000000-0005-0000-0000-00000A060000}"/>
    <cellStyle name="Normalny 3 3 3 3" xfId="1241" xr:uid="{00000000-0005-0000-0000-00000B060000}"/>
    <cellStyle name="Normalny 3 3 3 3 2" xfId="1242" xr:uid="{00000000-0005-0000-0000-00000C060000}"/>
    <cellStyle name="Normalny 3 3 3 3 2 2" xfId="1728" xr:uid="{00000000-0005-0000-0000-00000D060000}"/>
    <cellStyle name="Normalny 3 3 3 3 2 2 2" xfId="2844" xr:uid="{00000000-0005-0000-0000-00000E060000}"/>
    <cellStyle name="Normalny 3 3 3 3 2 3" xfId="2284" xr:uid="{00000000-0005-0000-0000-00000F060000}"/>
    <cellStyle name="Normalny 3 3 3 3 3" xfId="1727" xr:uid="{00000000-0005-0000-0000-000010060000}"/>
    <cellStyle name="Normalny 3 3 3 3 3 2" xfId="2843" xr:uid="{00000000-0005-0000-0000-000011060000}"/>
    <cellStyle name="Normalny 3 3 3 3 4" xfId="2283" xr:uid="{00000000-0005-0000-0000-000012060000}"/>
    <cellStyle name="Normalny 3 3 3 4" xfId="1243" xr:uid="{00000000-0005-0000-0000-000013060000}"/>
    <cellStyle name="Normalny 3 3 3 4 2" xfId="1729" xr:uid="{00000000-0005-0000-0000-000014060000}"/>
    <cellStyle name="Normalny 3 3 3 4 2 2" xfId="2845" xr:uid="{00000000-0005-0000-0000-000015060000}"/>
    <cellStyle name="Normalny 3 3 3 4 3" xfId="2285" xr:uid="{00000000-0005-0000-0000-000016060000}"/>
    <cellStyle name="Normalny 3 3 3 5" xfId="1722" xr:uid="{00000000-0005-0000-0000-000017060000}"/>
    <cellStyle name="Normalny 3 3 3 5 2" xfId="2838" xr:uid="{00000000-0005-0000-0000-000018060000}"/>
    <cellStyle name="Normalny 3 3 3 6" xfId="2278" xr:uid="{00000000-0005-0000-0000-000019060000}"/>
    <cellStyle name="Normalny 3 3 4" xfId="308" xr:uid="{00000000-0005-0000-0000-00001A060000}"/>
    <cellStyle name="Normalny 3 3 4 2" xfId="1244" xr:uid="{00000000-0005-0000-0000-00001B060000}"/>
    <cellStyle name="Normalny 3 3 4 2 2" xfId="1245" xr:uid="{00000000-0005-0000-0000-00001C060000}"/>
    <cellStyle name="Normalny 3 3 4 2 2 2" xfId="1246" xr:uid="{00000000-0005-0000-0000-00001D060000}"/>
    <cellStyle name="Normalny 3 3 4 2 2 2 2" xfId="1733" xr:uid="{00000000-0005-0000-0000-00001E060000}"/>
    <cellStyle name="Normalny 3 3 4 2 2 2 2 2" xfId="2849" xr:uid="{00000000-0005-0000-0000-00001F060000}"/>
    <cellStyle name="Normalny 3 3 4 2 2 2 3" xfId="2289" xr:uid="{00000000-0005-0000-0000-000020060000}"/>
    <cellStyle name="Normalny 3 3 4 2 2 3" xfId="1732" xr:uid="{00000000-0005-0000-0000-000021060000}"/>
    <cellStyle name="Normalny 3 3 4 2 2 3 2" xfId="2848" xr:uid="{00000000-0005-0000-0000-000022060000}"/>
    <cellStyle name="Normalny 3 3 4 2 2 4" xfId="2288" xr:uid="{00000000-0005-0000-0000-000023060000}"/>
    <cellStyle name="Normalny 3 3 4 2 3" xfId="1247" xr:uid="{00000000-0005-0000-0000-000024060000}"/>
    <cellStyle name="Normalny 3 3 4 2 3 2" xfId="1734" xr:uid="{00000000-0005-0000-0000-000025060000}"/>
    <cellStyle name="Normalny 3 3 4 2 3 2 2" xfId="2850" xr:uid="{00000000-0005-0000-0000-000026060000}"/>
    <cellStyle name="Normalny 3 3 4 2 3 3" xfId="2290" xr:uid="{00000000-0005-0000-0000-000027060000}"/>
    <cellStyle name="Normalny 3 3 4 2 4" xfId="1731" xr:uid="{00000000-0005-0000-0000-000028060000}"/>
    <cellStyle name="Normalny 3 3 4 2 4 2" xfId="2847" xr:uid="{00000000-0005-0000-0000-000029060000}"/>
    <cellStyle name="Normalny 3 3 4 2 5" xfId="2287" xr:uid="{00000000-0005-0000-0000-00002A060000}"/>
    <cellStyle name="Normalny 3 3 4 3" xfId="1248" xr:uid="{00000000-0005-0000-0000-00002B060000}"/>
    <cellStyle name="Normalny 3 3 4 3 2" xfId="1249" xr:uid="{00000000-0005-0000-0000-00002C060000}"/>
    <cellStyle name="Normalny 3 3 4 3 2 2" xfId="1736" xr:uid="{00000000-0005-0000-0000-00002D060000}"/>
    <cellStyle name="Normalny 3 3 4 3 2 2 2" xfId="2852" xr:uid="{00000000-0005-0000-0000-00002E060000}"/>
    <cellStyle name="Normalny 3 3 4 3 2 3" xfId="2292" xr:uid="{00000000-0005-0000-0000-00002F060000}"/>
    <cellStyle name="Normalny 3 3 4 3 3" xfId="1735" xr:uid="{00000000-0005-0000-0000-000030060000}"/>
    <cellStyle name="Normalny 3 3 4 3 3 2" xfId="2851" xr:uid="{00000000-0005-0000-0000-000031060000}"/>
    <cellStyle name="Normalny 3 3 4 3 4" xfId="2291" xr:uid="{00000000-0005-0000-0000-000032060000}"/>
    <cellStyle name="Normalny 3 3 4 4" xfId="1250" xr:uid="{00000000-0005-0000-0000-000033060000}"/>
    <cellStyle name="Normalny 3 3 4 4 2" xfId="1737" xr:uid="{00000000-0005-0000-0000-000034060000}"/>
    <cellStyle name="Normalny 3 3 4 4 2 2" xfId="2853" xr:uid="{00000000-0005-0000-0000-000035060000}"/>
    <cellStyle name="Normalny 3 3 4 4 3" xfId="2293" xr:uid="{00000000-0005-0000-0000-000036060000}"/>
    <cellStyle name="Normalny 3 3 4 5" xfId="1730" xr:uid="{00000000-0005-0000-0000-000037060000}"/>
    <cellStyle name="Normalny 3 3 4 5 2" xfId="2846" xr:uid="{00000000-0005-0000-0000-000038060000}"/>
    <cellStyle name="Normalny 3 3 4 6" xfId="2286" xr:uid="{00000000-0005-0000-0000-000039060000}"/>
    <cellStyle name="Normalny 3 3 5" xfId="292" xr:uid="{00000000-0005-0000-0000-00003A060000}"/>
    <cellStyle name="Normalny 3 3 5 2" xfId="1251" xr:uid="{00000000-0005-0000-0000-00003B060000}"/>
    <cellStyle name="Normalny 3 3 5 2 2" xfId="1252" xr:uid="{00000000-0005-0000-0000-00003C060000}"/>
    <cellStyle name="Normalny 3 3 5 2 2 2" xfId="1253" xr:uid="{00000000-0005-0000-0000-00003D060000}"/>
    <cellStyle name="Normalny 3 3 5 2 2 2 2" xfId="1741" xr:uid="{00000000-0005-0000-0000-00003E060000}"/>
    <cellStyle name="Normalny 3 3 5 2 2 2 2 2" xfId="2857" xr:uid="{00000000-0005-0000-0000-00003F060000}"/>
    <cellStyle name="Normalny 3 3 5 2 2 2 3" xfId="2297" xr:uid="{00000000-0005-0000-0000-000040060000}"/>
    <cellStyle name="Normalny 3 3 5 2 2 3" xfId="1740" xr:uid="{00000000-0005-0000-0000-000041060000}"/>
    <cellStyle name="Normalny 3 3 5 2 2 3 2" xfId="2856" xr:uid="{00000000-0005-0000-0000-000042060000}"/>
    <cellStyle name="Normalny 3 3 5 2 2 4" xfId="2296" xr:uid="{00000000-0005-0000-0000-000043060000}"/>
    <cellStyle name="Normalny 3 3 5 2 3" xfId="1254" xr:uid="{00000000-0005-0000-0000-000044060000}"/>
    <cellStyle name="Normalny 3 3 5 2 3 2" xfId="1742" xr:uid="{00000000-0005-0000-0000-000045060000}"/>
    <cellStyle name="Normalny 3 3 5 2 3 2 2" xfId="2858" xr:uid="{00000000-0005-0000-0000-000046060000}"/>
    <cellStyle name="Normalny 3 3 5 2 3 3" xfId="2298" xr:uid="{00000000-0005-0000-0000-000047060000}"/>
    <cellStyle name="Normalny 3 3 5 2 4" xfId="1739" xr:uid="{00000000-0005-0000-0000-000048060000}"/>
    <cellStyle name="Normalny 3 3 5 2 4 2" xfId="2855" xr:uid="{00000000-0005-0000-0000-000049060000}"/>
    <cellStyle name="Normalny 3 3 5 2 5" xfId="2295" xr:uid="{00000000-0005-0000-0000-00004A060000}"/>
    <cellStyle name="Normalny 3 3 5 3" xfId="1255" xr:uid="{00000000-0005-0000-0000-00004B060000}"/>
    <cellStyle name="Normalny 3 3 5 3 2" xfId="1256" xr:uid="{00000000-0005-0000-0000-00004C060000}"/>
    <cellStyle name="Normalny 3 3 5 3 2 2" xfId="1744" xr:uid="{00000000-0005-0000-0000-00004D060000}"/>
    <cellStyle name="Normalny 3 3 5 3 2 2 2" xfId="2860" xr:uid="{00000000-0005-0000-0000-00004E060000}"/>
    <cellStyle name="Normalny 3 3 5 3 2 3" xfId="2300" xr:uid="{00000000-0005-0000-0000-00004F060000}"/>
    <cellStyle name="Normalny 3 3 5 3 3" xfId="1743" xr:uid="{00000000-0005-0000-0000-000050060000}"/>
    <cellStyle name="Normalny 3 3 5 3 3 2" xfId="2859" xr:uid="{00000000-0005-0000-0000-000051060000}"/>
    <cellStyle name="Normalny 3 3 5 3 4" xfId="2299" xr:uid="{00000000-0005-0000-0000-000052060000}"/>
    <cellStyle name="Normalny 3 3 5 4" xfId="1257" xr:uid="{00000000-0005-0000-0000-000053060000}"/>
    <cellStyle name="Normalny 3 3 5 4 2" xfId="1745" xr:uid="{00000000-0005-0000-0000-000054060000}"/>
    <cellStyle name="Normalny 3 3 5 4 2 2" xfId="2861" xr:uid="{00000000-0005-0000-0000-000055060000}"/>
    <cellStyle name="Normalny 3 3 5 4 3" xfId="2301" xr:uid="{00000000-0005-0000-0000-000056060000}"/>
    <cellStyle name="Normalny 3 3 5 5" xfId="1738" xr:uid="{00000000-0005-0000-0000-000057060000}"/>
    <cellStyle name="Normalny 3 3 5 5 2" xfId="2854" xr:uid="{00000000-0005-0000-0000-000058060000}"/>
    <cellStyle name="Normalny 3 3 5 6" xfId="2294" xr:uid="{00000000-0005-0000-0000-000059060000}"/>
    <cellStyle name="Normalny 3 3 6" xfId="380" xr:uid="{00000000-0005-0000-0000-00005A060000}"/>
    <cellStyle name="Normalny 3 3 6 2" xfId="1259" xr:uid="{00000000-0005-0000-0000-00005B060000}"/>
    <cellStyle name="Normalny 3 3 6 2 2" xfId="1260" xr:uid="{00000000-0005-0000-0000-00005C060000}"/>
    <cellStyle name="Normalny 3 3 6 2 2 2" xfId="1748" xr:uid="{00000000-0005-0000-0000-00005D060000}"/>
    <cellStyle name="Normalny 3 3 6 2 2 2 2" xfId="2864" xr:uid="{00000000-0005-0000-0000-00005E060000}"/>
    <cellStyle name="Normalny 3 3 6 2 2 3" xfId="2304" xr:uid="{00000000-0005-0000-0000-00005F060000}"/>
    <cellStyle name="Normalny 3 3 6 2 3" xfId="1747" xr:uid="{00000000-0005-0000-0000-000060060000}"/>
    <cellStyle name="Normalny 3 3 6 2 3 2" xfId="2863" xr:uid="{00000000-0005-0000-0000-000061060000}"/>
    <cellStyle name="Normalny 3 3 6 2 4" xfId="2303" xr:uid="{00000000-0005-0000-0000-000062060000}"/>
    <cellStyle name="Normalny 3 3 6 3" xfId="1261" xr:uid="{00000000-0005-0000-0000-000063060000}"/>
    <cellStyle name="Normalny 3 3 6 3 2" xfId="1749" xr:uid="{00000000-0005-0000-0000-000064060000}"/>
    <cellStyle name="Normalny 3 3 6 3 2 2" xfId="2865" xr:uid="{00000000-0005-0000-0000-000065060000}"/>
    <cellStyle name="Normalny 3 3 6 3 3" xfId="2305" xr:uid="{00000000-0005-0000-0000-000066060000}"/>
    <cellStyle name="Normalny 3 3 6 4" xfId="1746" xr:uid="{00000000-0005-0000-0000-000067060000}"/>
    <cellStyle name="Normalny 3 3 6 4 2" xfId="2862" xr:uid="{00000000-0005-0000-0000-000068060000}"/>
    <cellStyle name="Normalny 3 3 6 5" xfId="2302" xr:uid="{00000000-0005-0000-0000-000069060000}"/>
    <cellStyle name="Normalny 3 3 6 6" xfId="1258" xr:uid="{00000000-0005-0000-0000-00006A060000}"/>
    <cellStyle name="Normalny 3 3 7" xfId="1262" xr:uid="{00000000-0005-0000-0000-00006B060000}"/>
    <cellStyle name="Normalny 3 3 7 2" xfId="1263" xr:uid="{00000000-0005-0000-0000-00006C060000}"/>
    <cellStyle name="Normalny 3 3 7 2 2" xfId="1751" xr:uid="{00000000-0005-0000-0000-00006D060000}"/>
    <cellStyle name="Normalny 3 3 7 2 2 2" xfId="2867" xr:uid="{00000000-0005-0000-0000-00006E060000}"/>
    <cellStyle name="Normalny 3 3 7 2 3" xfId="2307" xr:uid="{00000000-0005-0000-0000-00006F060000}"/>
    <cellStyle name="Normalny 3 3 7 3" xfId="1750" xr:uid="{00000000-0005-0000-0000-000070060000}"/>
    <cellStyle name="Normalny 3 3 7 3 2" xfId="2866" xr:uid="{00000000-0005-0000-0000-000071060000}"/>
    <cellStyle name="Normalny 3 3 7 4" xfId="2306" xr:uid="{00000000-0005-0000-0000-000072060000}"/>
    <cellStyle name="Normalny 3 3 8" xfId="1264" xr:uid="{00000000-0005-0000-0000-000073060000}"/>
    <cellStyle name="Normalny 3 3 8 2" xfId="1752" xr:uid="{00000000-0005-0000-0000-000074060000}"/>
    <cellStyle name="Normalny 3 3 8 2 2" xfId="2868" xr:uid="{00000000-0005-0000-0000-000075060000}"/>
    <cellStyle name="Normalny 3 3 8 3" xfId="2308" xr:uid="{00000000-0005-0000-0000-000076060000}"/>
    <cellStyle name="Normalny 3 3 9" xfId="1689" xr:uid="{00000000-0005-0000-0000-000077060000}"/>
    <cellStyle name="Normalny 3 3 9 2" xfId="2805" xr:uid="{00000000-0005-0000-0000-000078060000}"/>
    <cellStyle name="Normalny 3 4" xfId="283" xr:uid="{00000000-0005-0000-0000-000079060000}"/>
    <cellStyle name="Normalny 3 4 2" xfId="960" xr:uid="{00000000-0005-0000-0000-00007A060000}"/>
    <cellStyle name="Normalny 3 4 3" xfId="1453" xr:uid="{00000000-0005-0000-0000-00007B060000}"/>
    <cellStyle name="Normalny 3 5" xfId="1680" xr:uid="{00000000-0005-0000-0000-00007C060000}"/>
    <cellStyle name="Normalny 3 6" xfId="1090" xr:uid="{00000000-0005-0000-0000-00007D060000}"/>
    <cellStyle name="Normalny 3 6 2" xfId="3149" xr:uid="{00000000-0005-0000-0000-00007E060000}"/>
    <cellStyle name="Normalny 3 6 3" xfId="3159" xr:uid="{00000000-0005-0000-0000-00007F060000}"/>
    <cellStyle name="Normalny 3 6 4" xfId="3169" xr:uid="{00000000-0005-0000-0000-000080060000}"/>
    <cellStyle name="Normalny 3 6 5" xfId="3179" xr:uid="{00000000-0005-0000-0000-000081060000}"/>
    <cellStyle name="Normalny 4" xfId="5" xr:uid="{00000000-0005-0000-0000-000082060000}"/>
    <cellStyle name="Normalny 4 2" xfId="21" xr:uid="{00000000-0005-0000-0000-000083060000}"/>
    <cellStyle name="Normalny 4 2 2" xfId="288" xr:uid="{00000000-0005-0000-0000-000084060000}"/>
    <cellStyle name="Normalny 4 2 2 2" xfId="537" xr:uid="{00000000-0005-0000-0000-000085060000}"/>
    <cellStyle name="Normalny 4 2 3" xfId="481" xr:uid="{00000000-0005-0000-0000-000086060000}"/>
    <cellStyle name="Normalny 4 2 4" xfId="710" xr:uid="{00000000-0005-0000-0000-000087060000}"/>
    <cellStyle name="Normalny 4 2 5" xfId="381" xr:uid="{00000000-0005-0000-0000-000088060000}"/>
    <cellStyle name="Normalny 4 2 6" xfId="3193" xr:uid="{00000000-0005-0000-0000-000089060000}"/>
    <cellStyle name="Normalny 4 3" xfId="150" xr:uid="{00000000-0005-0000-0000-00008A060000}"/>
    <cellStyle name="Normalny 4 3 2" xfId="3205" xr:uid="{00000000-0005-0000-0000-00008B060000}"/>
    <cellStyle name="Normalny 4 3 3" xfId="3194" xr:uid="{00000000-0005-0000-0000-00008C060000}"/>
    <cellStyle name="Normalny 4 4" xfId="1454" xr:uid="{00000000-0005-0000-0000-00008D060000}"/>
    <cellStyle name="Normalny 4 5" xfId="3182" xr:uid="{00000000-0005-0000-0000-00008E060000}"/>
    <cellStyle name="Normalny 5" xfId="15" xr:uid="{00000000-0005-0000-0000-00008F060000}"/>
    <cellStyle name="Normalny 5 10" xfId="2018" xr:uid="{00000000-0005-0000-0000-000090060000}"/>
    <cellStyle name="Normalny 5 11" xfId="3181" xr:uid="{00000000-0005-0000-0000-000091060000}"/>
    <cellStyle name="Normalny 5 2" xfId="18" xr:uid="{00000000-0005-0000-0000-000092060000}"/>
    <cellStyle name="Normalny 5 2 10" xfId="3184" xr:uid="{00000000-0005-0000-0000-000093060000}"/>
    <cellStyle name="Normalny 5 2 2" xfId="33" xr:uid="{00000000-0005-0000-0000-000094060000}"/>
    <cellStyle name="Normalny 5 2 2 2" xfId="55" xr:uid="{00000000-0005-0000-0000-000095060000}"/>
    <cellStyle name="Normalny 5 2 2 2 2" xfId="94" xr:uid="{00000000-0005-0000-0000-000096060000}"/>
    <cellStyle name="Normalny 5 2 2 2 2 2" xfId="1265" xr:uid="{00000000-0005-0000-0000-000097060000}"/>
    <cellStyle name="Normalny 5 2 2 2 2 2 2" xfId="1753" xr:uid="{00000000-0005-0000-0000-000098060000}"/>
    <cellStyle name="Normalny 5 2 2 2 2 2 2 2" xfId="2869" xr:uid="{00000000-0005-0000-0000-000099060000}"/>
    <cellStyle name="Normalny 5 2 2 2 2 2 3" xfId="2309" xr:uid="{00000000-0005-0000-0000-00009A060000}"/>
    <cellStyle name="Normalny 5 2 2 2 2 3" xfId="1526" xr:uid="{00000000-0005-0000-0000-00009B060000}"/>
    <cellStyle name="Normalny 5 2 2 2 2 3 2" xfId="2648" xr:uid="{00000000-0005-0000-0000-00009C060000}"/>
    <cellStyle name="Normalny 5 2 2 2 2 4" xfId="2090" xr:uid="{00000000-0005-0000-0000-00009D060000}"/>
    <cellStyle name="Normalny 5 2 2 2 3" xfId="1266" xr:uid="{00000000-0005-0000-0000-00009E060000}"/>
    <cellStyle name="Normalny 5 2 2 2 3 2" xfId="1754" xr:uid="{00000000-0005-0000-0000-00009F060000}"/>
    <cellStyle name="Normalny 5 2 2 2 3 2 2" xfId="2870" xr:uid="{00000000-0005-0000-0000-0000A0060000}"/>
    <cellStyle name="Normalny 5 2 2 2 3 3" xfId="2310" xr:uid="{00000000-0005-0000-0000-0000A1060000}"/>
    <cellStyle name="Normalny 5 2 2 2 4" xfId="1488" xr:uid="{00000000-0005-0000-0000-0000A2060000}"/>
    <cellStyle name="Normalny 5 2 2 2 4 2" xfId="2609" xr:uid="{00000000-0005-0000-0000-0000A3060000}"/>
    <cellStyle name="Normalny 5 2 2 2 5" xfId="2051" xr:uid="{00000000-0005-0000-0000-0000A4060000}"/>
    <cellStyle name="Normalny 5 2 2 3" xfId="75" xr:uid="{00000000-0005-0000-0000-0000A5060000}"/>
    <cellStyle name="Normalny 5 2 2 3 2" xfId="1267" xr:uid="{00000000-0005-0000-0000-0000A6060000}"/>
    <cellStyle name="Normalny 5 2 2 3 2 2" xfId="1755" xr:uid="{00000000-0005-0000-0000-0000A7060000}"/>
    <cellStyle name="Normalny 5 2 2 3 2 2 2" xfId="2871" xr:uid="{00000000-0005-0000-0000-0000A8060000}"/>
    <cellStyle name="Normalny 5 2 2 3 2 3" xfId="2311" xr:uid="{00000000-0005-0000-0000-0000A9060000}"/>
    <cellStyle name="Normalny 5 2 2 3 3" xfId="1507" xr:uid="{00000000-0005-0000-0000-0000AA060000}"/>
    <cellStyle name="Normalny 5 2 2 3 3 2" xfId="2629" xr:uid="{00000000-0005-0000-0000-0000AB060000}"/>
    <cellStyle name="Normalny 5 2 2 3 4" xfId="2071" xr:uid="{00000000-0005-0000-0000-0000AC060000}"/>
    <cellStyle name="Normalny 5 2 2 4" xfId="738" xr:uid="{00000000-0005-0000-0000-0000AD060000}"/>
    <cellStyle name="Normalny 5 2 2 4 2" xfId="1756" xr:uid="{00000000-0005-0000-0000-0000AE060000}"/>
    <cellStyle name="Normalny 5 2 2 4 2 2" xfId="2872" xr:uid="{00000000-0005-0000-0000-0000AF060000}"/>
    <cellStyle name="Normalny 5 2 2 4 3" xfId="2312" xr:uid="{00000000-0005-0000-0000-0000B0060000}"/>
    <cellStyle name="Normalny 5 2 2 5" xfId="1470" xr:uid="{00000000-0005-0000-0000-0000B1060000}"/>
    <cellStyle name="Normalny 5 2 2 5 2" xfId="2590" xr:uid="{00000000-0005-0000-0000-0000B2060000}"/>
    <cellStyle name="Normalny 5 2 2 6" xfId="2032" xr:uid="{00000000-0005-0000-0000-0000B3060000}"/>
    <cellStyle name="Normalny 5 2 3" xfId="27" xr:uid="{00000000-0005-0000-0000-0000B4060000}"/>
    <cellStyle name="Normalny 5 2 3 2" xfId="49" xr:uid="{00000000-0005-0000-0000-0000B5060000}"/>
    <cellStyle name="Normalny 5 2 3 2 2" xfId="88" xr:uid="{00000000-0005-0000-0000-0000B6060000}"/>
    <cellStyle name="Normalny 5 2 3 2 2 2" xfId="1268" xr:uid="{00000000-0005-0000-0000-0000B7060000}"/>
    <cellStyle name="Normalny 5 2 3 2 2 2 2" xfId="1757" xr:uid="{00000000-0005-0000-0000-0000B8060000}"/>
    <cellStyle name="Normalny 5 2 3 2 2 2 2 2" xfId="2873" xr:uid="{00000000-0005-0000-0000-0000B9060000}"/>
    <cellStyle name="Normalny 5 2 3 2 2 2 3" xfId="2313" xr:uid="{00000000-0005-0000-0000-0000BA060000}"/>
    <cellStyle name="Normalny 5 2 3 2 2 3" xfId="1520" xr:uid="{00000000-0005-0000-0000-0000BB060000}"/>
    <cellStyle name="Normalny 5 2 3 2 2 3 2" xfId="2642" xr:uid="{00000000-0005-0000-0000-0000BC060000}"/>
    <cellStyle name="Normalny 5 2 3 2 2 4" xfId="2084" xr:uid="{00000000-0005-0000-0000-0000BD060000}"/>
    <cellStyle name="Normalny 5 2 3 2 3" xfId="1269" xr:uid="{00000000-0005-0000-0000-0000BE060000}"/>
    <cellStyle name="Normalny 5 2 3 2 3 2" xfId="1758" xr:uid="{00000000-0005-0000-0000-0000BF060000}"/>
    <cellStyle name="Normalny 5 2 3 2 3 2 2" xfId="2874" xr:uid="{00000000-0005-0000-0000-0000C0060000}"/>
    <cellStyle name="Normalny 5 2 3 2 3 3" xfId="2314" xr:uid="{00000000-0005-0000-0000-0000C1060000}"/>
    <cellStyle name="Normalny 5 2 3 2 4" xfId="1483" xr:uid="{00000000-0005-0000-0000-0000C2060000}"/>
    <cellStyle name="Normalny 5 2 3 2 4 2" xfId="2603" xr:uid="{00000000-0005-0000-0000-0000C3060000}"/>
    <cellStyle name="Normalny 5 2 3 2 5" xfId="2045" xr:uid="{00000000-0005-0000-0000-0000C4060000}"/>
    <cellStyle name="Normalny 5 2 3 3" xfId="69" xr:uid="{00000000-0005-0000-0000-0000C5060000}"/>
    <cellStyle name="Normalny 5 2 3 3 2" xfId="1270" xr:uid="{00000000-0005-0000-0000-0000C6060000}"/>
    <cellStyle name="Normalny 5 2 3 3 2 2" xfId="1759" xr:uid="{00000000-0005-0000-0000-0000C7060000}"/>
    <cellStyle name="Normalny 5 2 3 3 2 2 2" xfId="2875" xr:uid="{00000000-0005-0000-0000-0000C8060000}"/>
    <cellStyle name="Normalny 5 2 3 3 2 3" xfId="2315" xr:uid="{00000000-0005-0000-0000-0000C9060000}"/>
    <cellStyle name="Normalny 5 2 3 3 3" xfId="1502" xr:uid="{00000000-0005-0000-0000-0000CA060000}"/>
    <cellStyle name="Normalny 5 2 3 3 3 2" xfId="2623" xr:uid="{00000000-0005-0000-0000-0000CB060000}"/>
    <cellStyle name="Normalny 5 2 3 3 4" xfId="2065" xr:uid="{00000000-0005-0000-0000-0000CC060000}"/>
    <cellStyle name="Normalny 5 2 3 4" xfId="1271" xr:uid="{00000000-0005-0000-0000-0000CD060000}"/>
    <cellStyle name="Normalny 5 2 3 4 2" xfId="1760" xr:uid="{00000000-0005-0000-0000-0000CE060000}"/>
    <cellStyle name="Normalny 5 2 3 4 2 2" xfId="2876" xr:uid="{00000000-0005-0000-0000-0000CF060000}"/>
    <cellStyle name="Normalny 5 2 3 4 3" xfId="2316" xr:uid="{00000000-0005-0000-0000-0000D0060000}"/>
    <cellStyle name="Normalny 5 2 3 5" xfId="1466" xr:uid="{00000000-0005-0000-0000-0000D1060000}"/>
    <cellStyle name="Normalny 5 2 3 5 2" xfId="2585" xr:uid="{00000000-0005-0000-0000-0000D2060000}"/>
    <cellStyle name="Normalny 5 2 3 6" xfId="2027" xr:uid="{00000000-0005-0000-0000-0000D3060000}"/>
    <cellStyle name="Normalny 5 2 4" xfId="43" xr:uid="{00000000-0005-0000-0000-0000D4060000}"/>
    <cellStyle name="Normalny 5 2 4 2" xfId="82" xr:uid="{00000000-0005-0000-0000-0000D5060000}"/>
    <cellStyle name="Normalny 5 2 4 2 2" xfId="939" xr:uid="{00000000-0005-0000-0000-0000D6060000}"/>
    <cellStyle name="Normalny 5 2 4 2 2 2" xfId="1272" xr:uid="{00000000-0005-0000-0000-0000D7060000}"/>
    <cellStyle name="Normalny 5 2 4 2 2 2 2" xfId="1762" xr:uid="{00000000-0005-0000-0000-0000D8060000}"/>
    <cellStyle name="Normalny 5 2 4 2 2 2 2 2" xfId="2878" xr:uid="{00000000-0005-0000-0000-0000D9060000}"/>
    <cellStyle name="Normalny 5 2 4 2 2 2 3" xfId="2318" xr:uid="{00000000-0005-0000-0000-0000DA060000}"/>
    <cellStyle name="Normalny 5 2 4 2 2 3" xfId="1761" xr:uid="{00000000-0005-0000-0000-0000DB060000}"/>
    <cellStyle name="Normalny 5 2 4 2 2 3 2" xfId="2877" xr:uid="{00000000-0005-0000-0000-0000DC060000}"/>
    <cellStyle name="Normalny 5 2 4 2 2 4" xfId="2317" xr:uid="{00000000-0005-0000-0000-0000DD060000}"/>
    <cellStyle name="Normalny 5 2 4 2 3" xfId="1273" xr:uid="{00000000-0005-0000-0000-0000DE060000}"/>
    <cellStyle name="Normalny 5 2 4 2 3 2" xfId="1763" xr:uid="{00000000-0005-0000-0000-0000DF060000}"/>
    <cellStyle name="Normalny 5 2 4 2 3 2 2" xfId="2879" xr:uid="{00000000-0005-0000-0000-0000E0060000}"/>
    <cellStyle name="Normalny 5 2 4 2 3 3" xfId="2319" xr:uid="{00000000-0005-0000-0000-0000E1060000}"/>
    <cellStyle name="Normalny 5 2 4 2 4" xfId="1514" xr:uid="{00000000-0005-0000-0000-0000E2060000}"/>
    <cellStyle name="Normalny 5 2 4 2 4 2" xfId="2636" xr:uid="{00000000-0005-0000-0000-0000E3060000}"/>
    <cellStyle name="Normalny 5 2 4 2 5" xfId="2078" xr:uid="{00000000-0005-0000-0000-0000E4060000}"/>
    <cellStyle name="Normalny 5 2 4 3" xfId="826" xr:uid="{00000000-0005-0000-0000-0000E5060000}"/>
    <cellStyle name="Normalny 5 2 4 3 2" xfId="1274" xr:uid="{00000000-0005-0000-0000-0000E6060000}"/>
    <cellStyle name="Normalny 5 2 4 3 2 2" xfId="1765" xr:uid="{00000000-0005-0000-0000-0000E7060000}"/>
    <cellStyle name="Normalny 5 2 4 3 2 2 2" xfId="2881" xr:uid="{00000000-0005-0000-0000-0000E8060000}"/>
    <cellStyle name="Normalny 5 2 4 3 2 3" xfId="2321" xr:uid="{00000000-0005-0000-0000-0000E9060000}"/>
    <cellStyle name="Normalny 5 2 4 3 3" xfId="1764" xr:uid="{00000000-0005-0000-0000-0000EA060000}"/>
    <cellStyle name="Normalny 5 2 4 3 3 2" xfId="2880" xr:uid="{00000000-0005-0000-0000-0000EB060000}"/>
    <cellStyle name="Normalny 5 2 4 3 4" xfId="2320" xr:uid="{00000000-0005-0000-0000-0000EC060000}"/>
    <cellStyle name="Normalny 5 2 4 4" xfId="1275" xr:uid="{00000000-0005-0000-0000-0000ED060000}"/>
    <cellStyle name="Normalny 5 2 4 4 2" xfId="1766" xr:uid="{00000000-0005-0000-0000-0000EE060000}"/>
    <cellStyle name="Normalny 5 2 4 4 2 2" xfId="2882" xr:uid="{00000000-0005-0000-0000-0000EF060000}"/>
    <cellStyle name="Normalny 5 2 4 4 3" xfId="2322" xr:uid="{00000000-0005-0000-0000-0000F0060000}"/>
    <cellStyle name="Normalny 5 2 4 5" xfId="1477" xr:uid="{00000000-0005-0000-0000-0000F1060000}"/>
    <cellStyle name="Normalny 5 2 4 5 2" xfId="2597" xr:uid="{00000000-0005-0000-0000-0000F2060000}"/>
    <cellStyle name="Normalny 5 2 4 6" xfId="2039" xr:uid="{00000000-0005-0000-0000-0000F3060000}"/>
    <cellStyle name="Normalny 5 2 5" xfId="63" xr:uid="{00000000-0005-0000-0000-0000F4060000}"/>
    <cellStyle name="Normalny 5 2 5 2" xfId="882" xr:uid="{00000000-0005-0000-0000-0000F5060000}"/>
    <cellStyle name="Normalny 5 2 5 2 2" xfId="1276" xr:uid="{00000000-0005-0000-0000-0000F6060000}"/>
    <cellStyle name="Normalny 5 2 5 2 2 2" xfId="1768" xr:uid="{00000000-0005-0000-0000-0000F7060000}"/>
    <cellStyle name="Normalny 5 2 5 2 2 2 2" xfId="2884" xr:uid="{00000000-0005-0000-0000-0000F8060000}"/>
    <cellStyle name="Normalny 5 2 5 2 2 3" xfId="2324" xr:uid="{00000000-0005-0000-0000-0000F9060000}"/>
    <cellStyle name="Normalny 5 2 5 2 3" xfId="1767" xr:uid="{00000000-0005-0000-0000-0000FA060000}"/>
    <cellStyle name="Normalny 5 2 5 2 3 2" xfId="2883" xr:uid="{00000000-0005-0000-0000-0000FB060000}"/>
    <cellStyle name="Normalny 5 2 5 2 4" xfId="2323" xr:uid="{00000000-0005-0000-0000-0000FC060000}"/>
    <cellStyle name="Normalny 5 2 5 3" xfId="1277" xr:uid="{00000000-0005-0000-0000-0000FD060000}"/>
    <cellStyle name="Normalny 5 2 5 3 2" xfId="1769" xr:uid="{00000000-0005-0000-0000-0000FE060000}"/>
    <cellStyle name="Normalny 5 2 5 3 2 2" xfId="2885" xr:uid="{00000000-0005-0000-0000-0000FF060000}"/>
    <cellStyle name="Normalny 5 2 5 3 3" xfId="2325" xr:uid="{00000000-0005-0000-0000-000000070000}"/>
    <cellStyle name="Normalny 5 2 5 4" xfId="1496" xr:uid="{00000000-0005-0000-0000-000001070000}"/>
    <cellStyle name="Normalny 5 2 5 4 2" xfId="2617" xr:uid="{00000000-0005-0000-0000-000002070000}"/>
    <cellStyle name="Normalny 5 2 5 5" xfId="2059" xr:uid="{00000000-0005-0000-0000-000003070000}"/>
    <cellStyle name="Normalny 5 2 6" xfId="266" xr:uid="{00000000-0005-0000-0000-000004070000}"/>
    <cellStyle name="Normalny 5 2 6 2" xfId="963" xr:uid="{00000000-0005-0000-0000-000005070000}"/>
    <cellStyle name="Normalny 5 2 6 2 2" xfId="1770" xr:uid="{00000000-0005-0000-0000-000006070000}"/>
    <cellStyle name="Normalny 5 2 6 2 2 2" xfId="2886" xr:uid="{00000000-0005-0000-0000-000007070000}"/>
    <cellStyle name="Normalny 5 2 6 2 3" xfId="2326" xr:uid="{00000000-0005-0000-0000-000008070000}"/>
    <cellStyle name="Normalny 5 2 6 3" xfId="1545" xr:uid="{00000000-0005-0000-0000-000009070000}"/>
    <cellStyle name="Normalny 5 2 6 3 2" xfId="2660" xr:uid="{00000000-0005-0000-0000-00000A070000}"/>
    <cellStyle name="Normalny 5 2 6 4" xfId="2101" xr:uid="{00000000-0005-0000-0000-00000B070000}"/>
    <cellStyle name="Normalny 5 2 7" xfId="1004" xr:uid="{00000000-0005-0000-0000-00000C070000}"/>
    <cellStyle name="Normalny 5 2 7 2" xfId="1771" xr:uid="{00000000-0005-0000-0000-00000D070000}"/>
    <cellStyle name="Normalny 5 2 7 2 2" xfId="2887" xr:uid="{00000000-0005-0000-0000-00000E070000}"/>
    <cellStyle name="Normalny 5 2 7 3" xfId="2327" xr:uid="{00000000-0005-0000-0000-00000F070000}"/>
    <cellStyle name="Normalny 5 2 8" xfId="734" xr:uid="{00000000-0005-0000-0000-000010070000}"/>
    <cellStyle name="Normalny 5 2 8 2" xfId="2579" xr:uid="{00000000-0005-0000-0000-000011070000}"/>
    <cellStyle name="Normalny 5 2 9" xfId="2021" xr:uid="{00000000-0005-0000-0000-000012070000}"/>
    <cellStyle name="Normalny 5 3" xfId="30" xr:uid="{00000000-0005-0000-0000-000013070000}"/>
    <cellStyle name="Normalny 5 3 2" xfId="52" xr:uid="{00000000-0005-0000-0000-000014070000}"/>
    <cellStyle name="Normalny 5 3 2 2" xfId="91" xr:uid="{00000000-0005-0000-0000-000015070000}"/>
    <cellStyle name="Normalny 5 3 2 2 2" xfId="845" xr:uid="{00000000-0005-0000-0000-000016070000}"/>
    <cellStyle name="Normalny 5 3 2 2 2 2" xfId="1772" xr:uid="{00000000-0005-0000-0000-000017070000}"/>
    <cellStyle name="Normalny 5 3 2 2 2 2 2" xfId="2888" xr:uid="{00000000-0005-0000-0000-000018070000}"/>
    <cellStyle name="Normalny 5 3 2 2 2 3" xfId="2328" xr:uid="{00000000-0005-0000-0000-000019070000}"/>
    <cellStyle name="Normalny 5 3 2 2 3" xfId="1523" xr:uid="{00000000-0005-0000-0000-00001A070000}"/>
    <cellStyle name="Normalny 5 3 2 2 3 2" xfId="2645" xr:uid="{00000000-0005-0000-0000-00001B070000}"/>
    <cellStyle name="Normalny 5 3 2 2 4" xfId="2087" xr:uid="{00000000-0005-0000-0000-00001C070000}"/>
    <cellStyle name="Normalny 5 3 2 3" xfId="1073" xr:uid="{00000000-0005-0000-0000-00001D070000}"/>
    <cellStyle name="Normalny 5 3 2 3 2" xfId="1773" xr:uid="{00000000-0005-0000-0000-00001E070000}"/>
    <cellStyle name="Normalny 5 3 2 3 2 2" xfId="2889" xr:uid="{00000000-0005-0000-0000-00001F070000}"/>
    <cellStyle name="Normalny 5 3 2 3 3" xfId="2329" xr:uid="{00000000-0005-0000-0000-000020070000}"/>
    <cellStyle name="Normalny 5 3 2 4" xfId="739" xr:uid="{00000000-0005-0000-0000-000021070000}"/>
    <cellStyle name="Normalny 5 3 2 4 2" xfId="2606" xr:uid="{00000000-0005-0000-0000-000022070000}"/>
    <cellStyle name="Normalny 5 3 2 5" xfId="2048" xr:uid="{00000000-0005-0000-0000-000023070000}"/>
    <cellStyle name="Normalny 5 3 3" xfId="72" xr:uid="{00000000-0005-0000-0000-000024070000}"/>
    <cellStyle name="Normalny 5 3 3 2" xfId="651" xr:uid="{00000000-0005-0000-0000-000025070000}"/>
    <cellStyle name="Normalny 5 3 3 2 2" xfId="904" xr:uid="{00000000-0005-0000-0000-000026070000}"/>
    <cellStyle name="Normalny 5 3 3 2 2 2" xfId="2890" xr:uid="{00000000-0005-0000-0000-000027070000}"/>
    <cellStyle name="Normalny 5 3 3 2 3" xfId="2330" xr:uid="{00000000-0005-0000-0000-000028070000}"/>
    <cellStyle name="Normalny 5 3 3 3" xfId="790" xr:uid="{00000000-0005-0000-0000-000029070000}"/>
    <cellStyle name="Normalny 5 3 3 3 2" xfId="2626" xr:uid="{00000000-0005-0000-0000-00002A070000}"/>
    <cellStyle name="Normalny 5 3 3 4" xfId="2068" xr:uid="{00000000-0005-0000-0000-00002B070000}"/>
    <cellStyle name="Normalny 5 3 4" xfId="597" xr:uid="{00000000-0005-0000-0000-00002C070000}"/>
    <cellStyle name="Normalny 5 3 4 2" xfId="702" xr:uid="{00000000-0005-0000-0000-00002D070000}"/>
    <cellStyle name="Normalny 5 3 4 2 2" xfId="955" xr:uid="{00000000-0005-0000-0000-00002E070000}"/>
    <cellStyle name="Normalny 5 3 4 3" xfId="842" xr:uid="{00000000-0005-0000-0000-00002F070000}"/>
    <cellStyle name="Normalny 5 3 5" xfId="646" xr:uid="{00000000-0005-0000-0000-000030070000}"/>
    <cellStyle name="Normalny 5 3 5 2" xfId="898" xr:uid="{00000000-0005-0000-0000-000031070000}"/>
    <cellStyle name="Normalny 5 3 6" xfId="1020" xr:uid="{00000000-0005-0000-0000-000032070000}"/>
    <cellStyle name="Normalny 5 3 7" xfId="735" xr:uid="{00000000-0005-0000-0000-000033070000}"/>
    <cellStyle name="Normalny 5 4" xfId="24" xr:uid="{00000000-0005-0000-0000-000034070000}"/>
    <cellStyle name="Normalny 5 4 2" xfId="46" xr:uid="{00000000-0005-0000-0000-000035070000}"/>
    <cellStyle name="Normalny 5 4 2 2" xfId="85" xr:uid="{00000000-0005-0000-0000-000036070000}"/>
    <cellStyle name="Normalny 5 4 2 2 2" xfId="1278" xr:uid="{00000000-0005-0000-0000-000037070000}"/>
    <cellStyle name="Normalny 5 4 2 2 2 2" xfId="1774" xr:uid="{00000000-0005-0000-0000-000038070000}"/>
    <cellStyle name="Normalny 5 4 2 2 2 2 2" xfId="2891" xr:uid="{00000000-0005-0000-0000-000039070000}"/>
    <cellStyle name="Normalny 5 4 2 2 2 3" xfId="2331" xr:uid="{00000000-0005-0000-0000-00003A070000}"/>
    <cellStyle name="Normalny 5 4 2 2 3" xfId="1517" xr:uid="{00000000-0005-0000-0000-00003B070000}"/>
    <cellStyle name="Normalny 5 4 2 2 3 2" xfId="2639" xr:uid="{00000000-0005-0000-0000-00003C070000}"/>
    <cellStyle name="Normalny 5 4 2 2 4" xfId="2081" xr:uid="{00000000-0005-0000-0000-00003D070000}"/>
    <cellStyle name="Normalny 5 4 2 3" xfId="1279" xr:uid="{00000000-0005-0000-0000-00003E070000}"/>
    <cellStyle name="Normalny 5 4 2 3 2" xfId="1775" xr:uid="{00000000-0005-0000-0000-00003F070000}"/>
    <cellStyle name="Normalny 5 4 2 3 2 2" xfId="2892" xr:uid="{00000000-0005-0000-0000-000040070000}"/>
    <cellStyle name="Normalny 5 4 2 3 3" xfId="2332" xr:uid="{00000000-0005-0000-0000-000041070000}"/>
    <cellStyle name="Normalny 5 4 2 4" xfId="1480" xr:uid="{00000000-0005-0000-0000-000042070000}"/>
    <cellStyle name="Normalny 5 4 2 4 2" xfId="2600" xr:uid="{00000000-0005-0000-0000-000043070000}"/>
    <cellStyle name="Normalny 5 4 2 5" xfId="2042" xr:uid="{00000000-0005-0000-0000-000044070000}"/>
    <cellStyle name="Normalny 5 4 3" xfId="66" xr:uid="{00000000-0005-0000-0000-000045070000}"/>
    <cellStyle name="Normalny 5 4 3 2" xfId="1280" xr:uid="{00000000-0005-0000-0000-000046070000}"/>
    <cellStyle name="Normalny 5 4 3 2 2" xfId="1776" xr:uid="{00000000-0005-0000-0000-000047070000}"/>
    <cellStyle name="Normalny 5 4 3 2 2 2" xfId="2893" xr:uid="{00000000-0005-0000-0000-000048070000}"/>
    <cellStyle name="Normalny 5 4 3 2 3" xfId="2333" xr:uid="{00000000-0005-0000-0000-000049070000}"/>
    <cellStyle name="Normalny 5 4 3 3" xfId="1499" xr:uid="{00000000-0005-0000-0000-00004A070000}"/>
    <cellStyle name="Normalny 5 4 3 3 2" xfId="2620" xr:uid="{00000000-0005-0000-0000-00004B070000}"/>
    <cellStyle name="Normalny 5 4 3 4" xfId="2062" xr:uid="{00000000-0005-0000-0000-00004C070000}"/>
    <cellStyle name="Normalny 5 4 4" xfId="1281" xr:uid="{00000000-0005-0000-0000-00004D070000}"/>
    <cellStyle name="Normalny 5 4 4 2" xfId="1777" xr:uid="{00000000-0005-0000-0000-00004E070000}"/>
    <cellStyle name="Normalny 5 4 4 2 2" xfId="2894" xr:uid="{00000000-0005-0000-0000-00004F070000}"/>
    <cellStyle name="Normalny 5 4 4 3" xfId="2334" xr:uid="{00000000-0005-0000-0000-000050070000}"/>
    <cellStyle name="Normalny 5 4 5" xfId="1463" xr:uid="{00000000-0005-0000-0000-000051070000}"/>
    <cellStyle name="Normalny 5 4 5 2" xfId="2582" xr:uid="{00000000-0005-0000-0000-000052070000}"/>
    <cellStyle name="Normalny 5 4 6" xfId="2024" xr:uid="{00000000-0005-0000-0000-000053070000}"/>
    <cellStyle name="Normalny 5 5" xfId="40" xr:uid="{00000000-0005-0000-0000-000054070000}"/>
    <cellStyle name="Normalny 5 5 2" xfId="79" xr:uid="{00000000-0005-0000-0000-000055070000}"/>
    <cellStyle name="Normalny 5 5 2 2" xfId="1282" xr:uid="{00000000-0005-0000-0000-000056070000}"/>
    <cellStyle name="Normalny 5 5 2 2 2" xfId="1283" xr:uid="{00000000-0005-0000-0000-000057070000}"/>
    <cellStyle name="Normalny 5 5 2 2 2 2" xfId="1779" xr:uid="{00000000-0005-0000-0000-000058070000}"/>
    <cellStyle name="Normalny 5 5 2 2 2 2 2" xfId="2896" xr:uid="{00000000-0005-0000-0000-000059070000}"/>
    <cellStyle name="Normalny 5 5 2 2 2 3" xfId="2336" xr:uid="{00000000-0005-0000-0000-00005A070000}"/>
    <cellStyle name="Normalny 5 5 2 2 3" xfId="1778" xr:uid="{00000000-0005-0000-0000-00005B070000}"/>
    <cellStyle name="Normalny 5 5 2 2 3 2" xfId="2895" xr:uid="{00000000-0005-0000-0000-00005C070000}"/>
    <cellStyle name="Normalny 5 5 2 2 4" xfId="2335" xr:uid="{00000000-0005-0000-0000-00005D070000}"/>
    <cellStyle name="Normalny 5 5 2 3" xfId="1284" xr:uid="{00000000-0005-0000-0000-00005E070000}"/>
    <cellStyle name="Normalny 5 5 2 3 2" xfId="1780" xr:uid="{00000000-0005-0000-0000-00005F070000}"/>
    <cellStyle name="Normalny 5 5 2 3 2 2" xfId="2897" xr:uid="{00000000-0005-0000-0000-000060070000}"/>
    <cellStyle name="Normalny 5 5 2 3 3" xfId="2337" xr:uid="{00000000-0005-0000-0000-000061070000}"/>
    <cellStyle name="Normalny 5 5 2 4" xfId="1511" xr:uid="{00000000-0005-0000-0000-000062070000}"/>
    <cellStyle name="Normalny 5 5 2 4 2" xfId="2633" xr:uid="{00000000-0005-0000-0000-000063070000}"/>
    <cellStyle name="Normalny 5 5 2 5" xfId="2075" xr:uid="{00000000-0005-0000-0000-000064070000}"/>
    <cellStyle name="Normalny 5 5 3" xfId="534" xr:uid="{00000000-0005-0000-0000-000065070000}"/>
    <cellStyle name="Normalny 5 5 3 2" xfId="1286" xr:uid="{00000000-0005-0000-0000-000066070000}"/>
    <cellStyle name="Normalny 5 5 3 2 2" xfId="1782" xr:uid="{00000000-0005-0000-0000-000067070000}"/>
    <cellStyle name="Normalny 5 5 3 2 2 2" xfId="2899" xr:uid="{00000000-0005-0000-0000-000068070000}"/>
    <cellStyle name="Normalny 5 5 3 2 3" xfId="2339" xr:uid="{00000000-0005-0000-0000-000069070000}"/>
    <cellStyle name="Normalny 5 5 3 3" xfId="1781" xr:uid="{00000000-0005-0000-0000-00006A070000}"/>
    <cellStyle name="Normalny 5 5 3 3 2" xfId="2898" xr:uid="{00000000-0005-0000-0000-00006B070000}"/>
    <cellStyle name="Normalny 5 5 3 4" xfId="2338" xr:uid="{00000000-0005-0000-0000-00006C070000}"/>
    <cellStyle name="Normalny 5 5 3 5" xfId="1285" xr:uid="{00000000-0005-0000-0000-00006D070000}"/>
    <cellStyle name="Normalny 5 5 4" xfId="1287" xr:uid="{00000000-0005-0000-0000-00006E070000}"/>
    <cellStyle name="Normalny 5 5 4 2" xfId="1783" xr:uid="{00000000-0005-0000-0000-00006F070000}"/>
    <cellStyle name="Normalny 5 5 4 2 2" xfId="2900" xr:uid="{00000000-0005-0000-0000-000070070000}"/>
    <cellStyle name="Normalny 5 5 4 3" xfId="2340" xr:uid="{00000000-0005-0000-0000-000071070000}"/>
    <cellStyle name="Normalny 5 5 5" xfId="1474" xr:uid="{00000000-0005-0000-0000-000072070000}"/>
    <cellStyle name="Normalny 5 5 5 2" xfId="2594" xr:uid="{00000000-0005-0000-0000-000073070000}"/>
    <cellStyle name="Normalny 5 5 6" xfId="2036" xr:uid="{00000000-0005-0000-0000-000074070000}"/>
    <cellStyle name="Normalny 5 6" xfId="60" xr:uid="{00000000-0005-0000-0000-000075070000}"/>
    <cellStyle name="Normalny 5 6 2" xfId="1079" xr:uid="{00000000-0005-0000-0000-000076070000}"/>
    <cellStyle name="Normalny 5 6 2 2" xfId="1089" xr:uid="{00000000-0005-0000-0000-000077070000}"/>
    <cellStyle name="Normalny 5 6 2 2 2" xfId="1785" xr:uid="{00000000-0005-0000-0000-000078070000}"/>
    <cellStyle name="Normalny 5 6 2 2 2 2" xfId="2902" xr:uid="{00000000-0005-0000-0000-000079070000}"/>
    <cellStyle name="Normalny 5 6 2 2 3" xfId="2342" xr:uid="{00000000-0005-0000-0000-00007A070000}"/>
    <cellStyle name="Normalny 5 6 2 2 4" xfId="1289" xr:uid="{00000000-0005-0000-0000-00007B070000}"/>
    <cellStyle name="Normalny 5 6 2 2 5" xfId="3148" xr:uid="{00000000-0005-0000-0000-00007C070000}"/>
    <cellStyle name="Normalny 5 6 2 2 6" xfId="3158" xr:uid="{00000000-0005-0000-0000-00007D070000}"/>
    <cellStyle name="Normalny 5 6 2 2 7" xfId="3168" xr:uid="{00000000-0005-0000-0000-00007E070000}"/>
    <cellStyle name="Normalny 5 6 2 2 8" xfId="3178" xr:uid="{00000000-0005-0000-0000-00007F070000}"/>
    <cellStyle name="Normalny 5 6 2 3" xfId="1784" xr:uid="{00000000-0005-0000-0000-000080070000}"/>
    <cellStyle name="Normalny 5 6 2 3 2" xfId="2901" xr:uid="{00000000-0005-0000-0000-000081070000}"/>
    <cellStyle name="Normalny 5 6 2 4" xfId="2341" xr:uid="{00000000-0005-0000-0000-000082070000}"/>
    <cellStyle name="Normalny 5 6 2 5" xfId="1288" xr:uid="{00000000-0005-0000-0000-000083070000}"/>
    <cellStyle name="Normalny 5 6 3" xfId="962" xr:uid="{00000000-0005-0000-0000-000084070000}"/>
    <cellStyle name="Normalny 5 6 3 2" xfId="1786" xr:uid="{00000000-0005-0000-0000-000085070000}"/>
    <cellStyle name="Normalny 5 6 3 2 2" xfId="2903" xr:uid="{00000000-0005-0000-0000-000086070000}"/>
    <cellStyle name="Normalny 5 6 3 3" xfId="2343" xr:uid="{00000000-0005-0000-0000-000087070000}"/>
    <cellStyle name="Normalny 5 6 3 4" xfId="1290" xr:uid="{00000000-0005-0000-0000-000088070000}"/>
    <cellStyle name="Normalny 5 6 4" xfId="709" xr:uid="{00000000-0005-0000-0000-000089070000}"/>
    <cellStyle name="Normalny 5 6 4 2" xfId="2614" xr:uid="{00000000-0005-0000-0000-00008A070000}"/>
    <cellStyle name="Normalny 5 6 4 3" xfId="1493" xr:uid="{00000000-0005-0000-0000-00008B070000}"/>
    <cellStyle name="Normalny 5 6 5" xfId="1085" xr:uid="{00000000-0005-0000-0000-00008C070000}"/>
    <cellStyle name="Normalny 5 6 5 2" xfId="2056" xr:uid="{00000000-0005-0000-0000-00008D070000}"/>
    <cellStyle name="Normalny 5 6 5 3" xfId="3144" xr:uid="{00000000-0005-0000-0000-00008E070000}"/>
    <cellStyle name="Normalny 5 6 5 4" xfId="3154" xr:uid="{00000000-0005-0000-0000-00008F070000}"/>
    <cellStyle name="Normalny 5 6 5 5" xfId="3164" xr:uid="{00000000-0005-0000-0000-000090070000}"/>
    <cellStyle name="Normalny 5 6 5 6" xfId="3174" xr:uid="{00000000-0005-0000-0000-000091070000}"/>
    <cellStyle name="Normalny 5 7" xfId="201" xr:uid="{00000000-0005-0000-0000-000092070000}"/>
    <cellStyle name="Normalny 5 7 2" xfId="731" xr:uid="{00000000-0005-0000-0000-000093070000}"/>
    <cellStyle name="Normalny 5 7 2 2" xfId="1787" xr:uid="{00000000-0005-0000-0000-000094070000}"/>
    <cellStyle name="Normalny 5 7 2 2 2" xfId="2904" xr:uid="{00000000-0005-0000-0000-000095070000}"/>
    <cellStyle name="Normalny 5 7 2 3" xfId="2344" xr:uid="{00000000-0005-0000-0000-000096070000}"/>
    <cellStyle name="Normalny 5 8" xfId="276" xr:uid="{00000000-0005-0000-0000-000097070000}"/>
    <cellStyle name="Normalny 5 8 2" xfId="1788" xr:uid="{00000000-0005-0000-0000-000098070000}"/>
    <cellStyle name="Normalny 5 8 2 2" xfId="2905" xr:uid="{00000000-0005-0000-0000-000099070000}"/>
    <cellStyle name="Normalny 5 8 3" xfId="2345" xr:uid="{00000000-0005-0000-0000-00009A070000}"/>
    <cellStyle name="Normalny 5 8 4" xfId="1291" xr:uid="{00000000-0005-0000-0000-00009B070000}"/>
    <cellStyle name="Normalny 5 9" xfId="285" xr:uid="{00000000-0005-0000-0000-00009C070000}"/>
    <cellStyle name="Normalny 5 9 2" xfId="277" xr:uid="{00000000-0005-0000-0000-00009D070000}"/>
    <cellStyle name="Normalny 5 9 2 2" xfId="2576" xr:uid="{00000000-0005-0000-0000-00009E070000}"/>
    <cellStyle name="Normalny 5 9 2 3" xfId="3138" xr:uid="{00000000-0005-0000-0000-00009F070000}"/>
    <cellStyle name="Normalny 5 9 2 4" xfId="3136" xr:uid="{00000000-0005-0000-0000-0000A0070000}"/>
    <cellStyle name="Normalny 5 9 3" xfId="1458" xr:uid="{00000000-0005-0000-0000-0000A1070000}"/>
    <cellStyle name="Normalny 6" xfId="37" xr:uid="{00000000-0005-0000-0000-0000A2070000}"/>
    <cellStyle name="Normalny 6 2" xfId="261" xr:uid="{00000000-0005-0000-0000-0000A3070000}"/>
    <cellStyle name="Normalny 6 2 2" xfId="299" xr:uid="{00000000-0005-0000-0000-0000A4070000}"/>
    <cellStyle name="Normalny 6 2 2 2" xfId="650" xr:uid="{00000000-0005-0000-0000-0000A5070000}"/>
    <cellStyle name="Normalny 6 2 2 2 2" xfId="903" xr:uid="{00000000-0005-0000-0000-0000A6070000}"/>
    <cellStyle name="Normalny 6 2 2 2 2 2" xfId="1292" xr:uid="{00000000-0005-0000-0000-0000A7070000}"/>
    <cellStyle name="Normalny 6 2 2 2 2 2 2" xfId="1792" xr:uid="{00000000-0005-0000-0000-0000A8070000}"/>
    <cellStyle name="Normalny 6 2 2 2 2 2 2 2" xfId="2909" xr:uid="{00000000-0005-0000-0000-0000A9070000}"/>
    <cellStyle name="Normalny 6 2 2 2 2 2 3" xfId="2349" xr:uid="{00000000-0005-0000-0000-0000AA070000}"/>
    <cellStyle name="Normalny 6 2 2 2 2 3" xfId="1791" xr:uid="{00000000-0005-0000-0000-0000AB070000}"/>
    <cellStyle name="Normalny 6 2 2 2 2 3 2" xfId="2908" xr:uid="{00000000-0005-0000-0000-0000AC070000}"/>
    <cellStyle name="Normalny 6 2 2 2 2 4" xfId="2348" xr:uid="{00000000-0005-0000-0000-0000AD070000}"/>
    <cellStyle name="Normalny 6 2 2 2 3" xfId="1293" xr:uid="{00000000-0005-0000-0000-0000AE070000}"/>
    <cellStyle name="Normalny 6 2 2 2 3 2" xfId="1793" xr:uid="{00000000-0005-0000-0000-0000AF070000}"/>
    <cellStyle name="Normalny 6 2 2 2 3 2 2" xfId="2910" xr:uid="{00000000-0005-0000-0000-0000B0070000}"/>
    <cellStyle name="Normalny 6 2 2 2 3 3" xfId="2350" xr:uid="{00000000-0005-0000-0000-0000B1070000}"/>
    <cellStyle name="Normalny 6 2 2 2 4" xfId="1790" xr:uid="{00000000-0005-0000-0000-0000B2070000}"/>
    <cellStyle name="Normalny 6 2 2 2 4 2" xfId="2907" xr:uid="{00000000-0005-0000-0000-0000B3070000}"/>
    <cellStyle name="Normalny 6 2 2 2 5" xfId="2347" xr:uid="{00000000-0005-0000-0000-0000B4070000}"/>
    <cellStyle name="Normalny 6 2 2 3" xfId="1054" xr:uid="{00000000-0005-0000-0000-0000B5070000}"/>
    <cellStyle name="Normalny 6 2 2 3 2" xfId="1294" xr:uid="{00000000-0005-0000-0000-0000B6070000}"/>
    <cellStyle name="Normalny 6 2 2 3 2 2" xfId="1795" xr:uid="{00000000-0005-0000-0000-0000B7070000}"/>
    <cellStyle name="Normalny 6 2 2 3 2 2 2" xfId="2912" xr:uid="{00000000-0005-0000-0000-0000B8070000}"/>
    <cellStyle name="Normalny 6 2 2 3 2 3" xfId="2352" xr:uid="{00000000-0005-0000-0000-0000B9070000}"/>
    <cellStyle name="Normalny 6 2 2 3 3" xfId="1794" xr:uid="{00000000-0005-0000-0000-0000BA070000}"/>
    <cellStyle name="Normalny 6 2 2 3 3 2" xfId="2911" xr:uid="{00000000-0005-0000-0000-0000BB070000}"/>
    <cellStyle name="Normalny 6 2 2 3 4" xfId="2351" xr:uid="{00000000-0005-0000-0000-0000BC070000}"/>
    <cellStyle name="Normalny 6 2 2 4" xfId="771" xr:uid="{00000000-0005-0000-0000-0000BD070000}"/>
    <cellStyle name="Normalny 6 2 2 4 2" xfId="1796" xr:uid="{00000000-0005-0000-0000-0000BE070000}"/>
    <cellStyle name="Normalny 6 2 2 4 2 2" xfId="2913" xr:uid="{00000000-0005-0000-0000-0000BF070000}"/>
    <cellStyle name="Normalny 6 2 2 4 3" xfId="2353" xr:uid="{00000000-0005-0000-0000-0000C0070000}"/>
    <cellStyle name="Normalny 6 2 2 5" xfId="1789" xr:uid="{00000000-0005-0000-0000-0000C1070000}"/>
    <cellStyle name="Normalny 6 2 2 5 2" xfId="2906" xr:uid="{00000000-0005-0000-0000-0000C2070000}"/>
    <cellStyle name="Normalny 6 2 2 6" xfId="2346" xr:uid="{00000000-0005-0000-0000-0000C3070000}"/>
    <cellStyle name="Normalny 6 2 3" xfId="306" xr:uid="{00000000-0005-0000-0000-0000C4070000}"/>
    <cellStyle name="Normalny 6 2 3 2" xfId="683" xr:uid="{00000000-0005-0000-0000-0000C5070000}"/>
    <cellStyle name="Normalny 6 2 3 2 2" xfId="935" xr:uid="{00000000-0005-0000-0000-0000C6070000}"/>
    <cellStyle name="Normalny 6 2 3 2 2 2" xfId="1295" xr:uid="{00000000-0005-0000-0000-0000C7070000}"/>
    <cellStyle name="Normalny 6 2 3 2 2 2 2" xfId="1800" xr:uid="{00000000-0005-0000-0000-0000C8070000}"/>
    <cellStyle name="Normalny 6 2 3 2 2 2 2 2" xfId="2917" xr:uid="{00000000-0005-0000-0000-0000C9070000}"/>
    <cellStyle name="Normalny 6 2 3 2 2 2 3" xfId="2357" xr:uid="{00000000-0005-0000-0000-0000CA070000}"/>
    <cellStyle name="Normalny 6 2 3 2 2 3" xfId="1799" xr:uid="{00000000-0005-0000-0000-0000CB070000}"/>
    <cellStyle name="Normalny 6 2 3 2 2 3 2" xfId="2916" xr:uid="{00000000-0005-0000-0000-0000CC070000}"/>
    <cellStyle name="Normalny 6 2 3 2 2 4" xfId="2356" xr:uid="{00000000-0005-0000-0000-0000CD070000}"/>
    <cellStyle name="Normalny 6 2 3 2 3" xfId="1296" xr:uid="{00000000-0005-0000-0000-0000CE070000}"/>
    <cellStyle name="Normalny 6 2 3 2 3 2" xfId="1801" xr:uid="{00000000-0005-0000-0000-0000CF070000}"/>
    <cellStyle name="Normalny 6 2 3 2 3 2 2" xfId="2918" xr:uid="{00000000-0005-0000-0000-0000D0070000}"/>
    <cellStyle name="Normalny 6 2 3 2 3 3" xfId="2358" xr:uid="{00000000-0005-0000-0000-0000D1070000}"/>
    <cellStyle name="Normalny 6 2 3 2 4" xfId="1798" xr:uid="{00000000-0005-0000-0000-0000D2070000}"/>
    <cellStyle name="Normalny 6 2 3 2 4 2" xfId="2915" xr:uid="{00000000-0005-0000-0000-0000D3070000}"/>
    <cellStyle name="Normalny 6 2 3 2 5" xfId="2355" xr:uid="{00000000-0005-0000-0000-0000D4070000}"/>
    <cellStyle name="Normalny 6 2 3 3" xfId="822" xr:uid="{00000000-0005-0000-0000-0000D5070000}"/>
    <cellStyle name="Normalny 6 2 3 3 2" xfId="1297" xr:uid="{00000000-0005-0000-0000-0000D6070000}"/>
    <cellStyle name="Normalny 6 2 3 3 2 2" xfId="1803" xr:uid="{00000000-0005-0000-0000-0000D7070000}"/>
    <cellStyle name="Normalny 6 2 3 3 2 2 2" xfId="2920" xr:uid="{00000000-0005-0000-0000-0000D8070000}"/>
    <cellStyle name="Normalny 6 2 3 3 2 3" xfId="2360" xr:uid="{00000000-0005-0000-0000-0000D9070000}"/>
    <cellStyle name="Normalny 6 2 3 3 3" xfId="1802" xr:uid="{00000000-0005-0000-0000-0000DA070000}"/>
    <cellStyle name="Normalny 6 2 3 3 3 2" xfId="2919" xr:uid="{00000000-0005-0000-0000-0000DB070000}"/>
    <cellStyle name="Normalny 6 2 3 3 4" xfId="2359" xr:uid="{00000000-0005-0000-0000-0000DC070000}"/>
    <cellStyle name="Normalny 6 2 3 4" xfId="1298" xr:uid="{00000000-0005-0000-0000-0000DD070000}"/>
    <cellStyle name="Normalny 6 2 3 4 2" xfId="1804" xr:uid="{00000000-0005-0000-0000-0000DE070000}"/>
    <cellStyle name="Normalny 6 2 3 4 2 2" xfId="2921" xr:uid="{00000000-0005-0000-0000-0000DF070000}"/>
    <cellStyle name="Normalny 6 2 3 4 3" xfId="2361" xr:uid="{00000000-0005-0000-0000-0000E0070000}"/>
    <cellStyle name="Normalny 6 2 3 5" xfId="1797" xr:uid="{00000000-0005-0000-0000-0000E1070000}"/>
    <cellStyle name="Normalny 6 2 3 5 2" xfId="2914" xr:uid="{00000000-0005-0000-0000-0000E2070000}"/>
    <cellStyle name="Normalny 6 2 3 6" xfId="2354" xr:uid="{00000000-0005-0000-0000-0000E3070000}"/>
    <cellStyle name="Normalny 6 2 4" xfId="629" xr:uid="{00000000-0005-0000-0000-0000E4070000}"/>
    <cellStyle name="Normalny 6 2 4 2" xfId="878" xr:uid="{00000000-0005-0000-0000-0000E5070000}"/>
    <cellStyle name="Normalny 6 2 4 2 2" xfId="1299" xr:uid="{00000000-0005-0000-0000-0000E6070000}"/>
    <cellStyle name="Normalny 6 2 4 2 2 2" xfId="1300" xr:uid="{00000000-0005-0000-0000-0000E7070000}"/>
    <cellStyle name="Normalny 6 2 4 2 2 2 2" xfId="1808" xr:uid="{00000000-0005-0000-0000-0000E8070000}"/>
    <cellStyle name="Normalny 6 2 4 2 2 2 2 2" xfId="2925" xr:uid="{00000000-0005-0000-0000-0000E9070000}"/>
    <cellStyle name="Normalny 6 2 4 2 2 2 3" xfId="2365" xr:uid="{00000000-0005-0000-0000-0000EA070000}"/>
    <cellStyle name="Normalny 6 2 4 2 2 3" xfId="1807" xr:uid="{00000000-0005-0000-0000-0000EB070000}"/>
    <cellStyle name="Normalny 6 2 4 2 2 3 2" xfId="2924" xr:uid="{00000000-0005-0000-0000-0000EC070000}"/>
    <cellStyle name="Normalny 6 2 4 2 2 4" xfId="2364" xr:uid="{00000000-0005-0000-0000-0000ED070000}"/>
    <cellStyle name="Normalny 6 2 4 2 3" xfId="1301" xr:uid="{00000000-0005-0000-0000-0000EE070000}"/>
    <cellStyle name="Normalny 6 2 4 2 3 2" xfId="1809" xr:uid="{00000000-0005-0000-0000-0000EF070000}"/>
    <cellStyle name="Normalny 6 2 4 2 3 2 2" xfId="2926" xr:uid="{00000000-0005-0000-0000-0000F0070000}"/>
    <cellStyle name="Normalny 6 2 4 2 3 3" xfId="2366" xr:uid="{00000000-0005-0000-0000-0000F1070000}"/>
    <cellStyle name="Normalny 6 2 4 2 4" xfId="1806" xr:uid="{00000000-0005-0000-0000-0000F2070000}"/>
    <cellStyle name="Normalny 6 2 4 2 4 2" xfId="2923" xr:uid="{00000000-0005-0000-0000-0000F3070000}"/>
    <cellStyle name="Normalny 6 2 4 2 5" xfId="2363" xr:uid="{00000000-0005-0000-0000-0000F4070000}"/>
    <cellStyle name="Normalny 6 2 4 3" xfId="1302" xr:uid="{00000000-0005-0000-0000-0000F5070000}"/>
    <cellStyle name="Normalny 6 2 4 3 2" xfId="1303" xr:uid="{00000000-0005-0000-0000-0000F6070000}"/>
    <cellStyle name="Normalny 6 2 4 3 2 2" xfId="1811" xr:uid="{00000000-0005-0000-0000-0000F7070000}"/>
    <cellStyle name="Normalny 6 2 4 3 2 2 2" xfId="2928" xr:uid="{00000000-0005-0000-0000-0000F8070000}"/>
    <cellStyle name="Normalny 6 2 4 3 2 3" xfId="2368" xr:uid="{00000000-0005-0000-0000-0000F9070000}"/>
    <cellStyle name="Normalny 6 2 4 3 3" xfId="1810" xr:uid="{00000000-0005-0000-0000-0000FA070000}"/>
    <cellStyle name="Normalny 6 2 4 3 3 2" xfId="2927" xr:uid="{00000000-0005-0000-0000-0000FB070000}"/>
    <cellStyle name="Normalny 6 2 4 3 4" xfId="2367" xr:uid="{00000000-0005-0000-0000-0000FC070000}"/>
    <cellStyle name="Normalny 6 2 4 4" xfId="1304" xr:uid="{00000000-0005-0000-0000-0000FD070000}"/>
    <cellStyle name="Normalny 6 2 4 4 2" xfId="1812" xr:uid="{00000000-0005-0000-0000-0000FE070000}"/>
    <cellStyle name="Normalny 6 2 4 4 2 2" xfId="2929" xr:uid="{00000000-0005-0000-0000-0000FF070000}"/>
    <cellStyle name="Normalny 6 2 4 4 3" xfId="2369" xr:uid="{00000000-0005-0000-0000-000000080000}"/>
    <cellStyle name="Normalny 6 2 4 5" xfId="1805" xr:uid="{00000000-0005-0000-0000-000001080000}"/>
    <cellStyle name="Normalny 6 2 4 5 2" xfId="2922" xr:uid="{00000000-0005-0000-0000-000002080000}"/>
    <cellStyle name="Normalny 6 2 4 6" xfId="2362" xr:uid="{00000000-0005-0000-0000-000003080000}"/>
    <cellStyle name="Normalny 6 2 5" xfId="1000" xr:uid="{00000000-0005-0000-0000-000004080000}"/>
    <cellStyle name="Normalny 6 2 5 2" xfId="1305" xr:uid="{00000000-0005-0000-0000-000005080000}"/>
    <cellStyle name="Normalny 6 2 5 2 2" xfId="1306" xr:uid="{00000000-0005-0000-0000-000006080000}"/>
    <cellStyle name="Normalny 6 2 5 2 2 2" xfId="1815" xr:uid="{00000000-0005-0000-0000-000007080000}"/>
    <cellStyle name="Normalny 6 2 5 2 2 2 2" xfId="2932" xr:uid="{00000000-0005-0000-0000-000008080000}"/>
    <cellStyle name="Normalny 6 2 5 2 2 3" xfId="2372" xr:uid="{00000000-0005-0000-0000-000009080000}"/>
    <cellStyle name="Normalny 6 2 5 2 3" xfId="1814" xr:uid="{00000000-0005-0000-0000-00000A080000}"/>
    <cellStyle name="Normalny 6 2 5 2 3 2" xfId="2931" xr:uid="{00000000-0005-0000-0000-00000B080000}"/>
    <cellStyle name="Normalny 6 2 5 2 4" xfId="2371" xr:uid="{00000000-0005-0000-0000-00000C080000}"/>
    <cellStyle name="Normalny 6 2 5 3" xfId="1307" xr:uid="{00000000-0005-0000-0000-00000D080000}"/>
    <cellStyle name="Normalny 6 2 5 3 2" xfId="1816" xr:uid="{00000000-0005-0000-0000-00000E080000}"/>
    <cellStyle name="Normalny 6 2 5 3 2 2" xfId="2933" xr:uid="{00000000-0005-0000-0000-00000F080000}"/>
    <cellStyle name="Normalny 6 2 5 3 3" xfId="2373" xr:uid="{00000000-0005-0000-0000-000010080000}"/>
    <cellStyle name="Normalny 6 2 5 4" xfId="1813" xr:uid="{00000000-0005-0000-0000-000011080000}"/>
    <cellStyle name="Normalny 6 2 5 4 2" xfId="2930" xr:uid="{00000000-0005-0000-0000-000012080000}"/>
    <cellStyle name="Normalny 6 2 5 5" xfId="2370" xr:uid="{00000000-0005-0000-0000-000013080000}"/>
    <cellStyle name="Normalny 6 2 6" xfId="737" xr:uid="{00000000-0005-0000-0000-000014080000}"/>
    <cellStyle name="Normalny 6 2 6 2" xfId="1308" xr:uid="{00000000-0005-0000-0000-000015080000}"/>
    <cellStyle name="Normalny 6 2 6 2 2" xfId="1818" xr:uid="{00000000-0005-0000-0000-000016080000}"/>
    <cellStyle name="Normalny 6 2 6 2 2 2" xfId="2935" xr:uid="{00000000-0005-0000-0000-000017080000}"/>
    <cellStyle name="Normalny 6 2 6 2 3" xfId="2375" xr:uid="{00000000-0005-0000-0000-000018080000}"/>
    <cellStyle name="Normalny 6 2 6 3" xfId="1817" xr:uid="{00000000-0005-0000-0000-000019080000}"/>
    <cellStyle name="Normalny 6 2 6 3 2" xfId="2934" xr:uid="{00000000-0005-0000-0000-00001A080000}"/>
    <cellStyle name="Normalny 6 2 6 4" xfId="2374" xr:uid="{00000000-0005-0000-0000-00001B080000}"/>
    <cellStyle name="Normalny 6 2 7" xfId="1309" xr:uid="{00000000-0005-0000-0000-00001C080000}"/>
    <cellStyle name="Normalny 6 2 7 2" xfId="1819" xr:uid="{00000000-0005-0000-0000-00001D080000}"/>
    <cellStyle name="Normalny 6 2 7 2 2" xfId="2936" xr:uid="{00000000-0005-0000-0000-00001E080000}"/>
    <cellStyle name="Normalny 6 2 7 3" xfId="2376" xr:uid="{00000000-0005-0000-0000-00001F080000}"/>
    <cellStyle name="Normalny 6 2 8" xfId="1541" xr:uid="{00000000-0005-0000-0000-000020080000}"/>
    <cellStyle name="Normalny 6 2 8 2" xfId="2656" xr:uid="{00000000-0005-0000-0000-000021080000}"/>
    <cellStyle name="Normalny 6 2 9" xfId="2098" xr:uid="{00000000-0005-0000-0000-000022080000}"/>
    <cellStyle name="Normalny 6 3" xfId="245" xr:uid="{00000000-0005-0000-0000-000023080000}"/>
    <cellStyle name="Normalny 6 3 2" xfId="652" xr:uid="{00000000-0005-0000-0000-000024080000}"/>
    <cellStyle name="Normalny 6 3 2 2" xfId="1311" xr:uid="{00000000-0005-0000-0000-000025080000}"/>
    <cellStyle name="Normalny 6 3 2 2 2" xfId="1312" xr:uid="{00000000-0005-0000-0000-000026080000}"/>
    <cellStyle name="Normalny 6 3 2 2 2 2" xfId="1822" xr:uid="{00000000-0005-0000-0000-000027080000}"/>
    <cellStyle name="Normalny 6 3 2 2 2 2 2" xfId="2939" xr:uid="{00000000-0005-0000-0000-000028080000}"/>
    <cellStyle name="Normalny 6 3 2 2 2 3" xfId="2379" xr:uid="{00000000-0005-0000-0000-000029080000}"/>
    <cellStyle name="Normalny 6 3 2 2 3" xfId="1821" xr:uid="{00000000-0005-0000-0000-00002A080000}"/>
    <cellStyle name="Normalny 6 3 2 2 3 2" xfId="2938" xr:uid="{00000000-0005-0000-0000-00002B080000}"/>
    <cellStyle name="Normalny 6 3 2 2 4" xfId="2378" xr:uid="{00000000-0005-0000-0000-00002C080000}"/>
    <cellStyle name="Normalny 6 3 2 3" xfId="1313" xr:uid="{00000000-0005-0000-0000-00002D080000}"/>
    <cellStyle name="Normalny 6 3 2 3 2" xfId="1823" xr:uid="{00000000-0005-0000-0000-00002E080000}"/>
    <cellStyle name="Normalny 6 3 2 3 2 2" xfId="2940" xr:uid="{00000000-0005-0000-0000-00002F080000}"/>
    <cellStyle name="Normalny 6 3 2 3 3" xfId="2380" xr:uid="{00000000-0005-0000-0000-000030080000}"/>
    <cellStyle name="Normalny 6 3 2 4" xfId="1820" xr:uid="{00000000-0005-0000-0000-000031080000}"/>
    <cellStyle name="Normalny 6 3 2 4 2" xfId="2937" xr:uid="{00000000-0005-0000-0000-000032080000}"/>
    <cellStyle name="Normalny 6 3 2 5" xfId="2377" xr:uid="{00000000-0005-0000-0000-000033080000}"/>
    <cellStyle name="Normalny 6 3 2 6" xfId="1310" xr:uid="{00000000-0005-0000-0000-000034080000}"/>
    <cellStyle name="Normalny 6 3 3" xfId="1078" xr:uid="{00000000-0005-0000-0000-000035080000}"/>
    <cellStyle name="Normalny 6 3 3 2" xfId="1088" xr:uid="{00000000-0005-0000-0000-000036080000}"/>
    <cellStyle name="Normalny 6 3 3 2 2" xfId="1825" xr:uid="{00000000-0005-0000-0000-000037080000}"/>
    <cellStyle name="Normalny 6 3 3 2 2 2" xfId="2942" xr:uid="{00000000-0005-0000-0000-000038080000}"/>
    <cellStyle name="Normalny 6 3 3 2 3" xfId="2382" xr:uid="{00000000-0005-0000-0000-000039080000}"/>
    <cellStyle name="Normalny 6 3 3 2 4" xfId="1315" xr:uid="{00000000-0005-0000-0000-00003A080000}"/>
    <cellStyle name="Normalny 6 3 3 2 5" xfId="3147" xr:uid="{00000000-0005-0000-0000-00003B080000}"/>
    <cellStyle name="Normalny 6 3 3 2 6" xfId="3157" xr:uid="{00000000-0005-0000-0000-00003C080000}"/>
    <cellStyle name="Normalny 6 3 3 2 7" xfId="3167" xr:uid="{00000000-0005-0000-0000-00003D080000}"/>
    <cellStyle name="Normalny 6 3 3 2 8" xfId="3177" xr:uid="{00000000-0005-0000-0000-00003E080000}"/>
    <cellStyle name="Normalny 6 3 3 3" xfId="1824" xr:uid="{00000000-0005-0000-0000-00003F080000}"/>
    <cellStyle name="Normalny 6 3 3 3 2" xfId="2941" xr:uid="{00000000-0005-0000-0000-000040080000}"/>
    <cellStyle name="Normalny 6 3 3 4" xfId="2381" xr:uid="{00000000-0005-0000-0000-000041080000}"/>
    <cellStyle name="Normalny 6 3 3 5" xfId="1314" xr:uid="{00000000-0005-0000-0000-000042080000}"/>
    <cellStyle name="Normalny 6 3 4" xfId="553" xr:uid="{00000000-0005-0000-0000-000043080000}"/>
    <cellStyle name="Normalny 6 3 4 2" xfId="1826" xr:uid="{00000000-0005-0000-0000-000044080000}"/>
    <cellStyle name="Normalny 6 3 4 2 2" xfId="2943" xr:uid="{00000000-0005-0000-0000-000045080000}"/>
    <cellStyle name="Normalny 6 3 4 3" xfId="2383" xr:uid="{00000000-0005-0000-0000-000046080000}"/>
    <cellStyle name="Normalny 6 3 4 4" xfId="1316" xr:uid="{00000000-0005-0000-0000-000047080000}"/>
    <cellStyle name="Normalny 6 3 5" xfId="1084" xr:uid="{00000000-0005-0000-0000-000048080000}"/>
    <cellStyle name="Normalny 6 3 5 2" xfId="2653" xr:uid="{00000000-0005-0000-0000-000049080000}"/>
    <cellStyle name="Normalny 6 3 5 3" xfId="1538" xr:uid="{00000000-0005-0000-0000-00004A080000}"/>
    <cellStyle name="Normalny 6 3 5 4" xfId="3143" xr:uid="{00000000-0005-0000-0000-00004B080000}"/>
    <cellStyle name="Normalny 6 3 5 5" xfId="3153" xr:uid="{00000000-0005-0000-0000-00004C080000}"/>
    <cellStyle name="Normalny 6 3 5 6" xfId="3163" xr:uid="{00000000-0005-0000-0000-00004D080000}"/>
    <cellStyle name="Normalny 6 3 5 7" xfId="3173" xr:uid="{00000000-0005-0000-0000-00004E080000}"/>
    <cellStyle name="Normalny 6 3 6" xfId="2095" xr:uid="{00000000-0005-0000-0000-00004F080000}"/>
    <cellStyle name="Normalny 6 4" xfId="274" xr:uid="{00000000-0005-0000-0000-000050080000}"/>
    <cellStyle name="Normalny 6 4 2" xfId="305" xr:uid="{00000000-0005-0000-0000-000051080000}"/>
    <cellStyle name="Normalny 6 4 2 2" xfId="900" xr:uid="{00000000-0005-0000-0000-000052080000}"/>
    <cellStyle name="Normalny 6 4 2 2 2" xfId="1317" xr:uid="{00000000-0005-0000-0000-000053080000}"/>
    <cellStyle name="Normalny 6 4 2 2 2 2" xfId="1830" xr:uid="{00000000-0005-0000-0000-000054080000}"/>
    <cellStyle name="Normalny 6 4 2 2 2 2 2" xfId="2947" xr:uid="{00000000-0005-0000-0000-000055080000}"/>
    <cellStyle name="Normalny 6 4 2 2 2 3" xfId="2387" xr:uid="{00000000-0005-0000-0000-000056080000}"/>
    <cellStyle name="Normalny 6 4 2 2 3" xfId="1829" xr:uid="{00000000-0005-0000-0000-000057080000}"/>
    <cellStyle name="Normalny 6 4 2 2 3 2" xfId="2946" xr:uid="{00000000-0005-0000-0000-000058080000}"/>
    <cellStyle name="Normalny 6 4 2 2 4" xfId="2386" xr:uid="{00000000-0005-0000-0000-000059080000}"/>
    <cellStyle name="Normalny 6 4 2 3" xfId="1318" xr:uid="{00000000-0005-0000-0000-00005A080000}"/>
    <cellStyle name="Normalny 6 4 2 3 2" xfId="1831" xr:uid="{00000000-0005-0000-0000-00005B080000}"/>
    <cellStyle name="Normalny 6 4 2 3 2 2" xfId="2948" xr:uid="{00000000-0005-0000-0000-00005C080000}"/>
    <cellStyle name="Normalny 6 4 2 3 3" xfId="2388" xr:uid="{00000000-0005-0000-0000-00005D080000}"/>
    <cellStyle name="Normalny 6 4 2 4" xfId="1828" xr:uid="{00000000-0005-0000-0000-00005E080000}"/>
    <cellStyle name="Normalny 6 4 2 4 2" xfId="2945" xr:uid="{00000000-0005-0000-0000-00005F080000}"/>
    <cellStyle name="Normalny 6 4 2 5" xfId="2385" xr:uid="{00000000-0005-0000-0000-000060080000}"/>
    <cellStyle name="Normalny 6 4 3" xfId="1038" xr:uid="{00000000-0005-0000-0000-000061080000}"/>
    <cellStyle name="Normalny 6 4 3 2" xfId="1319" xr:uid="{00000000-0005-0000-0000-000062080000}"/>
    <cellStyle name="Normalny 6 4 3 2 2" xfId="1833" xr:uid="{00000000-0005-0000-0000-000063080000}"/>
    <cellStyle name="Normalny 6 4 3 2 2 2" xfId="2950" xr:uid="{00000000-0005-0000-0000-000064080000}"/>
    <cellStyle name="Normalny 6 4 3 2 3" xfId="2390" xr:uid="{00000000-0005-0000-0000-000065080000}"/>
    <cellStyle name="Normalny 6 4 3 3" xfId="1832" xr:uid="{00000000-0005-0000-0000-000066080000}"/>
    <cellStyle name="Normalny 6 4 3 3 2" xfId="2949" xr:uid="{00000000-0005-0000-0000-000067080000}"/>
    <cellStyle name="Normalny 6 4 3 4" xfId="2389" xr:uid="{00000000-0005-0000-0000-000068080000}"/>
    <cellStyle name="Normalny 6 4 4" xfId="755" xr:uid="{00000000-0005-0000-0000-000069080000}"/>
    <cellStyle name="Normalny 6 4 4 2" xfId="1834" xr:uid="{00000000-0005-0000-0000-00006A080000}"/>
    <cellStyle name="Normalny 6 4 4 2 2" xfId="2951" xr:uid="{00000000-0005-0000-0000-00006B080000}"/>
    <cellStyle name="Normalny 6 4 4 3" xfId="2391" xr:uid="{00000000-0005-0000-0000-00006C080000}"/>
    <cellStyle name="Normalny 6 4 5" xfId="1827" xr:uid="{00000000-0005-0000-0000-00006D080000}"/>
    <cellStyle name="Normalny 6 4 5 2" xfId="2944" xr:uid="{00000000-0005-0000-0000-00006E080000}"/>
    <cellStyle name="Normalny 6 4 6" xfId="2384" xr:uid="{00000000-0005-0000-0000-00006F080000}"/>
    <cellStyle name="Normalny 6 5" xfId="568" xr:uid="{00000000-0005-0000-0000-000070080000}"/>
    <cellStyle name="Normalny 6 5 2" xfId="667" xr:uid="{00000000-0005-0000-0000-000071080000}"/>
    <cellStyle name="Normalny 6 5 2 2" xfId="919" xr:uid="{00000000-0005-0000-0000-000072080000}"/>
    <cellStyle name="Normalny 6 5 2 2 2" xfId="1320" xr:uid="{00000000-0005-0000-0000-000073080000}"/>
    <cellStyle name="Normalny 6 5 2 2 2 2" xfId="1838" xr:uid="{00000000-0005-0000-0000-000074080000}"/>
    <cellStyle name="Normalny 6 5 2 2 2 2 2" xfId="2955" xr:uid="{00000000-0005-0000-0000-000075080000}"/>
    <cellStyle name="Normalny 6 5 2 2 2 3" xfId="2395" xr:uid="{00000000-0005-0000-0000-000076080000}"/>
    <cellStyle name="Normalny 6 5 2 2 3" xfId="1837" xr:uid="{00000000-0005-0000-0000-000077080000}"/>
    <cellStyle name="Normalny 6 5 2 2 3 2" xfId="2954" xr:uid="{00000000-0005-0000-0000-000078080000}"/>
    <cellStyle name="Normalny 6 5 2 2 4" xfId="2394" xr:uid="{00000000-0005-0000-0000-000079080000}"/>
    <cellStyle name="Normalny 6 5 2 3" xfId="1321" xr:uid="{00000000-0005-0000-0000-00007A080000}"/>
    <cellStyle name="Normalny 6 5 2 3 2" xfId="1839" xr:uid="{00000000-0005-0000-0000-00007B080000}"/>
    <cellStyle name="Normalny 6 5 2 3 2 2" xfId="2956" xr:uid="{00000000-0005-0000-0000-00007C080000}"/>
    <cellStyle name="Normalny 6 5 2 3 3" xfId="2396" xr:uid="{00000000-0005-0000-0000-00007D080000}"/>
    <cellStyle name="Normalny 6 5 2 4" xfId="1836" xr:uid="{00000000-0005-0000-0000-00007E080000}"/>
    <cellStyle name="Normalny 6 5 2 4 2" xfId="2953" xr:uid="{00000000-0005-0000-0000-00007F080000}"/>
    <cellStyle name="Normalny 6 5 2 5" xfId="2393" xr:uid="{00000000-0005-0000-0000-000080080000}"/>
    <cellStyle name="Normalny 6 5 3" xfId="806" xr:uid="{00000000-0005-0000-0000-000081080000}"/>
    <cellStyle name="Normalny 6 5 3 2" xfId="1322" xr:uid="{00000000-0005-0000-0000-000082080000}"/>
    <cellStyle name="Normalny 6 5 3 2 2" xfId="1841" xr:uid="{00000000-0005-0000-0000-000083080000}"/>
    <cellStyle name="Normalny 6 5 3 2 2 2" xfId="2958" xr:uid="{00000000-0005-0000-0000-000084080000}"/>
    <cellStyle name="Normalny 6 5 3 2 3" xfId="2398" xr:uid="{00000000-0005-0000-0000-000085080000}"/>
    <cellStyle name="Normalny 6 5 3 3" xfId="1840" xr:uid="{00000000-0005-0000-0000-000086080000}"/>
    <cellStyle name="Normalny 6 5 3 3 2" xfId="2957" xr:uid="{00000000-0005-0000-0000-000087080000}"/>
    <cellStyle name="Normalny 6 5 3 4" xfId="2397" xr:uid="{00000000-0005-0000-0000-000088080000}"/>
    <cellStyle name="Normalny 6 5 4" xfId="1323" xr:uid="{00000000-0005-0000-0000-000089080000}"/>
    <cellStyle name="Normalny 6 5 4 2" xfId="1842" xr:uid="{00000000-0005-0000-0000-00008A080000}"/>
    <cellStyle name="Normalny 6 5 4 2 2" xfId="2959" xr:uid="{00000000-0005-0000-0000-00008B080000}"/>
    <cellStyle name="Normalny 6 5 4 3" xfId="2399" xr:uid="{00000000-0005-0000-0000-00008C080000}"/>
    <cellStyle name="Normalny 6 5 5" xfId="1835" xr:uid="{00000000-0005-0000-0000-00008D080000}"/>
    <cellStyle name="Normalny 6 5 5 2" xfId="2952" xr:uid="{00000000-0005-0000-0000-00008E080000}"/>
    <cellStyle name="Normalny 6 5 6" xfId="2392" xr:uid="{00000000-0005-0000-0000-00008F080000}"/>
    <cellStyle name="Normalny 6 6" xfId="614" xr:uid="{00000000-0005-0000-0000-000090080000}"/>
    <cellStyle name="Normalny 6 6 2" xfId="862" xr:uid="{00000000-0005-0000-0000-000091080000}"/>
    <cellStyle name="Normalny 6 6 2 2" xfId="1324" xr:uid="{00000000-0005-0000-0000-000092080000}"/>
    <cellStyle name="Normalny 6 6 2 2 2" xfId="1845" xr:uid="{00000000-0005-0000-0000-000093080000}"/>
    <cellStyle name="Normalny 6 6 2 2 2 2" xfId="2962" xr:uid="{00000000-0005-0000-0000-000094080000}"/>
    <cellStyle name="Normalny 6 6 2 2 3" xfId="2402" xr:uid="{00000000-0005-0000-0000-000095080000}"/>
    <cellStyle name="Normalny 6 6 2 3" xfId="1844" xr:uid="{00000000-0005-0000-0000-000096080000}"/>
    <cellStyle name="Normalny 6 6 2 3 2" xfId="2961" xr:uid="{00000000-0005-0000-0000-000097080000}"/>
    <cellStyle name="Normalny 6 6 2 4" xfId="2401" xr:uid="{00000000-0005-0000-0000-000098080000}"/>
    <cellStyle name="Normalny 6 6 3" xfId="1325" xr:uid="{00000000-0005-0000-0000-000099080000}"/>
    <cellStyle name="Normalny 6 6 3 2" xfId="1846" xr:uid="{00000000-0005-0000-0000-00009A080000}"/>
    <cellStyle name="Normalny 6 6 3 2 2" xfId="2963" xr:uid="{00000000-0005-0000-0000-00009B080000}"/>
    <cellStyle name="Normalny 6 6 3 3" xfId="2403" xr:uid="{00000000-0005-0000-0000-00009C080000}"/>
    <cellStyle name="Normalny 6 6 4" xfId="1843" xr:uid="{00000000-0005-0000-0000-00009D080000}"/>
    <cellStyle name="Normalny 6 6 4 2" xfId="2960" xr:uid="{00000000-0005-0000-0000-00009E080000}"/>
    <cellStyle name="Normalny 6 6 5" xfId="2400" xr:uid="{00000000-0005-0000-0000-00009F080000}"/>
    <cellStyle name="Normalny 6 7" xfId="712" xr:uid="{00000000-0005-0000-0000-0000A0080000}"/>
    <cellStyle name="Normalny 6 7 2" xfId="965" xr:uid="{00000000-0005-0000-0000-0000A1080000}"/>
    <cellStyle name="Normalny 6 7 2 2" xfId="1848" xr:uid="{00000000-0005-0000-0000-0000A2080000}"/>
    <cellStyle name="Normalny 6 7 2 2 2" xfId="2965" xr:uid="{00000000-0005-0000-0000-0000A3080000}"/>
    <cellStyle name="Normalny 6 7 2 3" xfId="2405" xr:uid="{00000000-0005-0000-0000-0000A4080000}"/>
    <cellStyle name="Normalny 6 7 3" xfId="1847" xr:uid="{00000000-0005-0000-0000-0000A5080000}"/>
    <cellStyle name="Normalny 6 7 3 2" xfId="2964" xr:uid="{00000000-0005-0000-0000-0000A6080000}"/>
    <cellStyle name="Normalny 6 7 4" xfId="2404" xr:uid="{00000000-0005-0000-0000-0000A7080000}"/>
    <cellStyle name="Normalny 6 8" xfId="984" xr:uid="{00000000-0005-0000-0000-0000A8080000}"/>
    <cellStyle name="Normalny 6 8 2" xfId="1849" xr:uid="{00000000-0005-0000-0000-0000A9080000}"/>
    <cellStyle name="Normalny 6 8 2 2" xfId="2966" xr:uid="{00000000-0005-0000-0000-0000AA080000}"/>
    <cellStyle name="Normalny 6 8 3" xfId="2406" xr:uid="{00000000-0005-0000-0000-0000AB080000}"/>
    <cellStyle name="Normalny 6 9" xfId="733" xr:uid="{00000000-0005-0000-0000-0000AC080000}"/>
    <cellStyle name="Normalny 7" xfId="36" xr:uid="{00000000-0005-0000-0000-0000AD080000}"/>
    <cellStyle name="Normalny 7 10" xfId="1083" xr:uid="{00000000-0005-0000-0000-0000AE080000}"/>
    <cellStyle name="Normalny 7 10 2" xfId="2035" xr:uid="{00000000-0005-0000-0000-0000AF080000}"/>
    <cellStyle name="Normalny 7 10 3" xfId="3142" xr:uid="{00000000-0005-0000-0000-0000B0080000}"/>
    <cellStyle name="Normalny 7 10 4" xfId="3152" xr:uid="{00000000-0005-0000-0000-0000B1080000}"/>
    <cellStyle name="Normalny 7 10 5" xfId="3162" xr:uid="{00000000-0005-0000-0000-0000B2080000}"/>
    <cellStyle name="Normalny 7 10 6" xfId="3172" xr:uid="{00000000-0005-0000-0000-0000B3080000}"/>
    <cellStyle name="Normalny 7 2" xfId="78" xr:uid="{00000000-0005-0000-0000-0000B4080000}"/>
    <cellStyle name="Normalny 7 2 2" xfId="263" xr:uid="{00000000-0005-0000-0000-0000B5080000}"/>
    <cellStyle name="Normalny 7 2 2 2" xfId="685" xr:uid="{00000000-0005-0000-0000-0000B6080000}"/>
    <cellStyle name="Normalny 7 2 2 2 2" xfId="937" xr:uid="{00000000-0005-0000-0000-0000B7080000}"/>
    <cellStyle name="Normalny 7 2 2 2 2 2" xfId="1326" xr:uid="{00000000-0005-0000-0000-0000B8080000}"/>
    <cellStyle name="Normalny 7 2 2 2 2 2 2" xfId="1852" xr:uid="{00000000-0005-0000-0000-0000B9080000}"/>
    <cellStyle name="Normalny 7 2 2 2 2 2 2 2" xfId="2969" xr:uid="{00000000-0005-0000-0000-0000BA080000}"/>
    <cellStyle name="Normalny 7 2 2 2 2 2 3" xfId="2409" xr:uid="{00000000-0005-0000-0000-0000BB080000}"/>
    <cellStyle name="Normalny 7 2 2 2 2 3" xfId="1851" xr:uid="{00000000-0005-0000-0000-0000BC080000}"/>
    <cellStyle name="Normalny 7 2 2 2 2 3 2" xfId="2968" xr:uid="{00000000-0005-0000-0000-0000BD080000}"/>
    <cellStyle name="Normalny 7 2 2 2 2 4" xfId="2408" xr:uid="{00000000-0005-0000-0000-0000BE080000}"/>
    <cellStyle name="Normalny 7 2 2 2 3" xfId="1327" xr:uid="{00000000-0005-0000-0000-0000BF080000}"/>
    <cellStyle name="Normalny 7 2 2 2 3 2" xfId="1853" xr:uid="{00000000-0005-0000-0000-0000C0080000}"/>
    <cellStyle name="Normalny 7 2 2 2 3 2 2" xfId="2970" xr:uid="{00000000-0005-0000-0000-0000C1080000}"/>
    <cellStyle name="Normalny 7 2 2 2 3 3" xfId="2410" xr:uid="{00000000-0005-0000-0000-0000C2080000}"/>
    <cellStyle name="Normalny 7 2 2 2 4" xfId="1850" xr:uid="{00000000-0005-0000-0000-0000C3080000}"/>
    <cellStyle name="Normalny 7 2 2 2 4 2" xfId="2967" xr:uid="{00000000-0005-0000-0000-0000C4080000}"/>
    <cellStyle name="Normalny 7 2 2 2 5" xfId="2407" xr:uid="{00000000-0005-0000-0000-0000C5080000}"/>
    <cellStyle name="Normalny 7 2 2 3" xfId="1056" xr:uid="{00000000-0005-0000-0000-0000C6080000}"/>
    <cellStyle name="Normalny 7 2 2 3 2" xfId="1328" xr:uid="{00000000-0005-0000-0000-0000C7080000}"/>
    <cellStyle name="Normalny 7 2 2 3 2 2" xfId="1855" xr:uid="{00000000-0005-0000-0000-0000C8080000}"/>
    <cellStyle name="Normalny 7 2 2 3 2 2 2" xfId="2972" xr:uid="{00000000-0005-0000-0000-0000C9080000}"/>
    <cellStyle name="Normalny 7 2 2 3 2 3" xfId="2412" xr:uid="{00000000-0005-0000-0000-0000CA080000}"/>
    <cellStyle name="Normalny 7 2 2 3 3" xfId="1854" xr:uid="{00000000-0005-0000-0000-0000CB080000}"/>
    <cellStyle name="Normalny 7 2 2 3 3 2" xfId="2971" xr:uid="{00000000-0005-0000-0000-0000CC080000}"/>
    <cellStyle name="Normalny 7 2 2 3 4" xfId="2411" xr:uid="{00000000-0005-0000-0000-0000CD080000}"/>
    <cellStyle name="Normalny 7 2 2 4" xfId="824" xr:uid="{00000000-0005-0000-0000-0000CE080000}"/>
    <cellStyle name="Normalny 7 2 2 4 2" xfId="1856" xr:uid="{00000000-0005-0000-0000-0000CF080000}"/>
    <cellStyle name="Normalny 7 2 2 4 2 2" xfId="2973" xr:uid="{00000000-0005-0000-0000-0000D0080000}"/>
    <cellStyle name="Normalny 7 2 2 4 3" xfId="2413" xr:uid="{00000000-0005-0000-0000-0000D1080000}"/>
    <cellStyle name="Normalny 7 2 2 5" xfId="1543" xr:uid="{00000000-0005-0000-0000-0000D2080000}"/>
    <cellStyle name="Normalny 7 2 2 5 2" xfId="2658" xr:uid="{00000000-0005-0000-0000-0000D3080000}"/>
    <cellStyle name="Normalny 7 2 2 6" xfId="2099" xr:uid="{00000000-0005-0000-0000-0000D4080000}"/>
    <cellStyle name="Normalny 7 2 3" xfId="311" xr:uid="{00000000-0005-0000-0000-0000D5080000}"/>
    <cellStyle name="Normalny 7 2 3 2" xfId="880" xr:uid="{00000000-0005-0000-0000-0000D6080000}"/>
    <cellStyle name="Normalny 7 2 3 2 2" xfId="1329" xr:uid="{00000000-0005-0000-0000-0000D7080000}"/>
    <cellStyle name="Normalny 7 2 3 2 2 2" xfId="1330" xr:uid="{00000000-0005-0000-0000-0000D8080000}"/>
    <cellStyle name="Normalny 7 2 3 2 2 2 2" xfId="1860" xr:uid="{00000000-0005-0000-0000-0000D9080000}"/>
    <cellStyle name="Normalny 7 2 3 2 2 2 2 2" xfId="2977" xr:uid="{00000000-0005-0000-0000-0000DA080000}"/>
    <cellStyle name="Normalny 7 2 3 2 2 2 3" xfId="2417" xr:uid="{00000000-0005-0000-0000-0000DB080000}"/>
    <cellStyle name="Normalny 7 2 3 2 2 3" xfId="1859" xr:uid="{00000000-0005-0000-0000-0000DC080000}"/>
    <cellStyle name="Normalny 7 2 3 2 2 3 2" xfId="2976" xr:uid="{00000000-0005-0000-0000-0000DD080000}"/>
    <cellStyle name="Normalny 7 2 3 2 2 4" xfId="2416" xr:uid="{00000000-0005-0000-0000-0000DE080000}"/>
    <cellStyle name="Normalny 7 2 3 2 3" xfId="1331" xr:uid="{00000000-0005-0000-0000-0000DF080000}"/>
    <cellStyle name="Normalny 7 2 3 2 3 2" xfId="1861" xr:uid="{00000000-0005-0000-0000-0000E0080000}"/>
    <cellStyle name="Normalny 7 2 3 2 3 2 2" xfId="2978" xr:uid="{00000000-0005-0000-0000-0000E1080000}"/>
    <cellStyle name="Normalny 7 2 3 2 3 3" xfId="2418" xr:uid="{00000000-0005-0000-0000-0000E2080000}"/>
    <cellStyle name="Normalny 7 2 3 2 4" xfId="1858" xr:uid="{00000000-0005-0000-0000-0000E3080000}"/>
    <cellStyle name="Normalny 7 2 3 2 4 2" xfId="2975" xr:uid="{00000000-0005-0000-0000-0000E4080000}"/>
    <cellStyle name="Normalny 7 2 3 2 5" xfId="2415" xr:uid="{00000000-0005-0000-0000-0000E5080000}"/>
    <cellStyle name="Normalny 7 2 3 3" xfId="1332" xr:uid="{00000000-0005-0000-0000-0000E6080000}"/>
    <cellStyle name="Normalny 7 2 3 3 2" xfId="1333" xr:uid="{00000000-0005-0000-0000-0000E7080000}"/>
    <cellStyle name="Normalny 7 2 3 3 2 2" xfId="1863" xr:uid="{00000000-0005-0000-0000-0000E8080000}"/>
    <cellStyle name="Normalny 7 2 3 3 2 2 2" xfId="2980" xr:uid="{00000000-0005-0000-0000-0000E9080000}"/>
    <cellStyle name="Normalny 7 2 3 3 2 3" xfId="2420" xr:uid="{00000000-0005-0000-0000-0000EA080000}"/>
    <cellStyle name="Normalny 7 2 3 3 3" xfId="1862" xr:uid="{00000000-0005-0000-0000-0000EB080000}"/>
    <cellStyle name="Normalny 7 2 3 3 3 2" xfId="2979" xr:uid="{00000000-0005-0000-0000-0000EC080000}"/>
    <cellStyle name="Normalny 7 2 3 3 4" xfId="2419" xr:uid="{00000000-0005-0000-0000-0000ED080000}"/>
    <cellStyle name="Normalny 7 2 3 4" xfId="1334" xr:uid="{00000000-0005-0000-0000-0000EE080000}"/>
    <cellStyle name="Normalny 7 2 3 4 2" xfId="1864" xr:uid="{00000000-0005-0000-0000-0000EF080000}"/>
    <cellStyle name="Normalny 7 2 3 4 2 2" xfId="2981" xr:uid="{00000000-0005-0000-0000-0000F0080000}"/>
    <cellStyle name="Normalny 7 2 3 4 3" xfId="2421" xr:uid="{00000000-0005-0000-0000-0000F1080000}"/>
    <cellStyle name="Normalny 7 2 3 5" xfId="1857" xr:uid="{00000000-0005-0000-0000-0000F2080000}"/>
    <cellStyle name="Normalny 7 2 3 5 2" xfId="2974" xr:uid="{00000000-0005-0000-0000-0000F3080000}"/>
    <cellStyle name="Normalny 7 2 3 6" xfId="2414" xr:uid="{00000000-0005-0000-0000-0000F4080000}"/>
    <cellStyle name="Normalny 7 2 4" xfId="1002" xr:uid="{00000000-0005-0000-0000-0000F5080000}"/>
    <cellStyle name="Normalny 7 2 4 2" xfId="1335" xr:uid="{00000000-0005-0000-0000-0000F6080000}"/>
    <cellStyle name="Normalny 7 2 4 2 2" xfId="1336" xr:uid="{00000000-0005-0000-0000-0000F7080000}"/>
    <cellStyle name="Normalny 7 2 4 2 2 2" xfId="1337" xr:uid="{00000000-0005-0000-0000-0000F8080000}"/>
    <cellStyle name="Normalny 7 2 4 2 2 2 2" xfId="1868" xr:uid="{00000000-0005-0000-0000-0000F9080000}"/>
    <cellStyle name="Normalny 7 2 4 2 2 2 2 2" xfId="2985" xr:uid="{00000000-0005-0000-0000-0000FA080000}"/>
    <cellStyle name="Normalny 7 2 4 2 2 2 3" xfId="2425" xr:uid="{00000000-0005-0000-0000-0000FB080000}"/>
    <cellStyle name="Normalny 7 2 4 2 2 3" xfId="1867" xr:uid="{00000000-0005-0000-0000-0000FC080000}"/>
    <cellStyle name="Normalny 7 2 4 2 2 3 2" xfId="2984" xr:uid="{00000000-0005-0000-0000-0000FD080000}"/>
    <cellStyle name="Normalny 7 2 4 2 2 4" xfId="2424" xr:uid="{00000000-0005-0000-0000-0000FE080000}"/>
    <cellStyle name="Normalny 7 2 4 2 3" xfId="1338" xr:uid="{00000000-0005-0000-0000-0000FF080000}"/>
    <cellStyle name="Normalny 7 2 4 2 3 2" xfId="1869" xr:uid="{00000000-0005-0000-0000-000000090000}"/>
    <cellStyle name="Normalny 7 2 4 2 3 2 2" xfId="2986" xr:uid="{00000000-0005-0000-0000-000001090000}"/>
    <cellStyle name="Normalny 7 2 4 2 3 3" xfId="2426" xr:uid="{00000000-0005-0000-0000-000002090000}"/>
    <cellStyle name="Normalny 7 2 4 2 4" xfId="1866" xr:uid="{00000000-0005-0000-0000-000003090000}"/>
    <cellStyle name="Normalny 7 2 4 2 4 2" xfId="2983" xr:uid="{00000000-0005-0000-0000-000004090000}"/>
    <cellStyle name="Normalny 7 2 4 2 5" xfId="2423" xr:uid="{00000000-0005-0000-0000-000005090000}"/>
    <cellStyle name="Normalny 7 2 4 3" xfId="1339" xr:uid="{00000000-0005-0000-0000-000006090000}"/>
    <cellStyle name="Normalny 7 2 4 3 2" xfId="1340" xr:uid="{00000000-0005-0000-0000-000007090000}"/>
    <cellStyle name="Normalny 7 2 4 3 2 2" xfId="1871" xr:uid="{00000000-0005-0000-0000-000008090000}"/>
    <cellStyle name="Normalny 7 2 4 3 2 2 2" xfId="2988" xr:uid="{00000000-0005-0000-0000-000009090000}"/>
    <cellStyle name="Normalny 7 2 4 3 2 3" xfId="2428" xr:uid="{00000000-0005-0000-0000-00000A090000}"/>
    <cellStyle name="Normalny 7 2 4 3 3" xfId="1870" xr:uid="{00000000-0005-0000-0000-00000B090000}"/>
    <cellStyle name="Normalny 7 2 4 3 3 2" xfId="2987" xr:uid="{00000000-0005-0000-0000-00000C090000}"/>
    <cellStyle name="Normalny 7 2 4 3 4" xfId="2427" xr:uid="{00000000-0005-0000-0000-00000D090000}"/>
    <cellStyle name="Normalny 7 2 4 4" xfId="1341" xr:uid="{00000000-0005-0000-0000-00000E090000}"/>
    <cellStyle name="Normalny 7 2 4 4 2" xfId="1872" xr:uid="{00000000-0005-0000-0000-00000F090000}"/>
    <cellStyle name="Normalny 7 2 4 4 2 2" xfId="2989" xr:uid="{00000000-0005-0000-0000-000010090000}"/>
    <cellStyle name="Normalny 7 2 4 4 3" xfId="2429" xr:uid="{00000000-0005-0000-0000-000011090000}"/>
    <cellStyle name="Normalny 7 2 4 5" xfId="1865" xr:uid="{00000000-0005-0000-0000-000012090000}"/>
    <cellStyle name="Normalny 7 2 4 5 2" xfId="2982" xr:uid="{00000000-0005-0000-0000-000013090000}"/>
    <cellStyle name="Normalny 7 2 4 6" xfId="2422" xr:uid="{00000000-0005-0000-0000-000014090000}"/>
    <cellStyle name="Normalny 7 2 5" xfId="773" xr:uid="{00000000-0005-0000-0000-000015090000}"/>
    <cellStyle name="Normalny 7 2 5 2" xfId="1342" xr:uid="{00000000-0005-0000-0000-000016090000}"/>
    <cellStyle name="Normalny 7 2 5 2 2" xfId="1343" xr:uid="{00000000-0005-0000-0000-000017090000}"/>
    <cellStyle name="Normalny 7 2 5 2 2 2" xfId="1875" xr:uid="{00000000-0005-0000-0000-000018090000}"/>
    <cellStyle name="Normalny 7 2 5 2 2 2 2" xfId="2992" xr:uid="{00000000-0005-0000-0000-000019090000}"/>
    <cellStyle name="Normalny 7 2 5 2 2 3" xfId="2432" xr:uid="{00000000-0005-0000-0000-00001A090000}"/>
    <cellStyle name="Normalny 7 2 5 2 3" xfId="1874" xr:uid="{00000000-0005-0000-0000-00001B090000}"/>
    <cellStyle name="Normalny 7 2 5 2 3 2" xfId="2991" xr:uid="{00000000-0005-0000-0000-00001C090000}"/>
    <cellStyle name="Normalny 7 2 5 2 4" xfId="2431" xr:uid="{00000000-0005-0000-0000-00001D090000}"/>
    <cellStyle name="Normalny 7 2 5 3" xfId="1344" xr:uid="{00000000-0005-0000-0000-00001E090000}"/>
    <cellStyle name="Normalny 7 2 5 3 2" xfId="1876" xr:uid="{00000000-0005-0000-0000-00001F090000}"/>
    <cellStyle name="Normalny 7 2 5 3 2 2" xfId="2993" xr:uid="{00000000-0005-0000-0000-000020090000}"/>
    <cellStyle name="Normalny 7 2 5 3 3" xfId="2433" xr:uid="{00000000-0005-0000-0000-000021090000}"/>
    <cellStyle name="Normalny 7 2 5 4" xfId="1873" xr:uid="{00000000-0005-0000-0000-000022090000}"/>
    <cellStyle name="Normalny 7 2 5 4 2" xfId="2990" xr:uid="{00000000-0005-0000-0000-000023090000}"/>
    <cellStyle name="Normalny 7 2 5 5" xfId="2430" xr:uid="{00000000-0005-0000-0000-000024090000}"/>
    <cellStyle name="Normalny 7 2 6" xfId="1345" xr:uid="{00000000-0005-0000-0000-000025090000}"/>
    <cellStyle name="Normalny 7 2 6 2" xfId="1346" xr:uid="{00000000-0005-0000-0000-000026090000}"/>
    <cellStyle name="Normalny 7 2 6 2 2" xfId="1878" xr:uid="{00000000-0005-0000-0000-000027090000}"/>
    <cellStyle name="Normalny 7 2 6 2 2 2" xfId="2995" xr:uid="{00000000-0005-0000-0000-000028090000}"/>
    <cellStyle name="Normalny 7 2 6 2 3" xfId="2435" xr:uid="{00000000-0005-0000-0000-000029090000}"/>
    <cellStyle name="Normalny 7 2 6 3" xfId="1877" xr:uid="{00000000-0005-0000-0000-00002A090000}"/>
    <cellStyle name="Normalny 7 2 6 3 2" xfId="2994" xr:uid="{00000000-0005-0000-0000-00002B090000}"/>
    <cellStyle name="Normalny 7 2 6 4" xfId="2434" xr:uid="{00000000-0005-0000-0000-00002C090000}"/>
    <cellStyle name="Normalny 7 2 7" xfId="1347" xr:uid="{00000000-0005-0000-0000-00002D090000}"/>
    <cellStyle name="Normalny 7 2 7 2" xfId="1879" xr:uid="{00000000-0005-0000-0000-00002E090000}"/>
    <cellStyle name="Normalny 7 2 7 2 2" xfId="2996" xr:uid="{00000000-0005-0000-0000-00002F090000}"/>
    <cellStyle name="Normalny 7 2 7 3" xfId="2436" xr:uid="{00000000-0005-0000-0000-000030090000}"/>
    <cellStyle name="Normalny 7 2 8" xfId="1510" xr:uid="{00000000-0005-0000-0000-000031090000}"/>
    <cellStyle name="Normalny 7 2 8 2" xfId="2632" xr:uid="{00000000-0005-0000-0000-000032090000}"/>
    <cellStyle name="Normalny 7 2 9" xfId="2074" xr:uid="{00000000-0005-0000-0000-000033090000}"/>
    <cellStyle name="Normalny 7 3" xfId="247" xr:uid="{00000000-0005-0000-0000-000034090000}"/>
    <cellStyle name="Normalny 7 3 2" xfId="649" xr:uid="{00000000-0005-0000-0000-000035090000}"/>
    <cellStyle name="Normalny 7 3 2 2" xfId="902" xr:uid="{00000000-0005-0000-0000-000036090000}"/>
    <cellStyle name="Normalny 7 3 2 2 2" xfId="1348" xr:uid="{00000000-0005-0000-0000-000037090000}"/>
    <cellStyle name="Normalny 7 3 2 2 2 2" xfId="1882" xr:uid="{00000000-0005-0000-0000-000038090000}"/>
    <cellStyle name="Normalny 7 3 2 2 2 2 2" xfId="2999" xr:uid="{00000000-0005-0000-0000-000039090000}"/>
    <cellStyle name="Normalny 7 3 2 2 2 3" xfId="2439" xr:uid="{00000000-0005-0000-0000-00003A090000}"/>
    <cellStyle name="Normalny 7 3 2 2 3" xfId="1881" xr:uid="{00000000-0005-0000-0000-00003B090000}"/>
    <cellStyle name="Normalny 7 3 2 2 3 2" xfId="2998" xr:uid="{00000000-0005-0000-0000-00003C090000}"/>
    <cellStyle name="Normalny 7 3 2 2 4" xfId="2438" xr:uid="{00000000-0005-0000-0000-00003D090000}"/>
    <cellStyle name="Normalny 7 3 2 3" xfId="1349" xr:uid="{00000000-0005-0000-0000-00003E090000}"/>
    <cellStyle name="Normalny 7 3 2 3 2" xfId="1883" xr:uid="{00000000-0005-0000-0000-00003F090000}"/>
    <cellStyle name="Normalny 7 3 2 3 2 2" xfId="3000" xr:uid="{00000000-0005-0000-0000-000040090000}"/>
    <cellStyle name="Normalny 7 3 2 3 3" xfId="2440" xr:uid="{00000000-0005-0000-0000-000041090000}"/>
    <cellStyle name="Normalny 7 3 2 4" xfId="1880" xr:uid="{00000000-0005-0000-0000-000042090000}"/>
    <cellStyle name="Normalny 7 3 2 4 2" xfId="2997" xr:uid="{00000000-0005-0000-0000-000043090000}"/>
    <cellStyle name="Normalny 7 3 2 5" xfId="2437" xr:uid="{00000000-0005-0000-0000-000044090000}"/>
    <cellStyle name="Normalny 7 3 3" xfId="1040" xr:uid="{00000000-0005-0000-0000-000045090000}"/>
    <cellStyle name="Normalny 7 3 3 2" xfId="1350" xr:uid="{00000000-0005-0000-0000-000046090000}"/>
    <cellStyle name="Normalny 7 3 3 2 2" xfId="1885" xr:uid="{00000000-0005-0000-0000-000047090000}"/>
    <cellStyle name="Normalny 7 3 3 2 2 2" xfId="3002" xr:uid="{00000000-0005-0000-0000-000048090000}"/>
    <cellStyle name="Normalny 7 3 3 2 3" xfId="2442" xr:uid="{00000000-0005-0000-0000-000049090000}"/>
    <cellStyle name="Normalny 7 3 3 3" xfId="1884" xr:uid="{00000000-0005-0000-0000-00004A090000}"/>
    <cellStyle name="Normalny 7 3 3 3 2" xfId="3001" xr:uid="{00000000-0005-0000-0000-00004B090000}"/>
    <cellStyle name="Normalny 7 3 3 4" xfId="2441" xr:uid="{00000000-0005-0000-0000-00004C090000}"/>
    <cellStyle name="Normalny 7 3 4" xfId="757" xr:uid="{00000000-0005-0000-0000-00004D090000}"/>
    <cellStyle name="Normalny 7 3 4 2" xfId="1886" xr:uid="{00000000-0005-0000-0000-00004E090000}"/>
    <cellStyle name="Normalny 7 3 4 2 2" xfId="3003" xr:uid="{00000000-0005-0000-0000-00004F090000}"/>
    <cellStyle name="Normalny 7 3 4 3" xfId="2443" xr:uid="{00000000-0005-0000-0000-000050090000}"/>
    <cellStyle name="Normalny 7 3 5" xfId="1539" xr:uid="{00000000-0005-0000-0000-000051090000}"/>
    <cellStyle name="Normalny 7 3 5 2" xfId="2654" xr:uid="{00000000-0005-0000-0000-000052090000}"/>
    <cellStyle name="Normalny 7 3 6" xfId="2096" xr:uid="{00000000-0005-0000-0000-000053090000}"/>
    <cellStyle name="Normalny 7 4" xfId="310" xr:uid="{00000000-0005-0000-0000-000054090000}"/>
    <cellStyle name="Normalny 7 4 2" xfId="669" xr:uid="{00000000-0005-0000-0000-000055090000}"/>
    <cellStyle name="Normalny 7 4 2 2" xfId="921" xr:uid="{00000000-0005-0000-0000-000056090000}"/>
    <cellStyle name="Normalny 7 4 2 2 2" xfId="1351" xr:uid="{00000000-0005-0000-0000-000057090000}"/>
    <cellStyle name="Normalny 7 4 2 2 2 2" xfId="1890" xr:uid="{00000000-0005-0000-0000-000058090000}"/>
    <cellStyle name="Normalny 7 4 2 2 2 2 2" xfId="3007" xr:uid="{00000000-0005-0000-0000-000059090000}"/>
    <cellStyle name="Normalny 7 4 2 2 2 3" xfId="2447" xr:uid="{00000000-0005-0000-0000-00005A090000}"/>
    <cellStyle name="Normalny 7 4 2 2 3" xfId="1889" xr:uid="{00000000-0005-0000-0000-00005B090000}"/>
    <cellStyle name="Normalny 7 4 2 2 3 2" xfId="3006" xr:uid="{00000000-0005-0000-0000-00005C090000}"/>
    <cellStyle name="Normalny 7 4 2 2 4" xfId="2446" xr:uid="{00000000-0005-0000-0000-00005D090000}"/>
    <cellStyle name="Normalny 7 4 2 3" xfId="1352" xr:uid="{00000000-0005-0000-0000-00005E090000}"/>
    <cellStyle name="Normalny 7 4 2 3 2" xfId="1891" xr:uid="{00000000-0005-0000-0000-00005F090000}"/>
    <cellStyle name="Normalny 7 4 2 3 2 2" xfId="3008" xr:uid="{00000000-0005-0000-0000-000060090000}"/>
    <cellStyle name="Normalny 7 4 2 3 3" xfId="2448" xr:uid="{00000000-0005-0000-0000-000061090000}"/>
    <cellStyle name="Normalny 7 4 2 4" xfId="1888" xr:uid="{00000000-0005-0000-0000-000062090000}"/>
    <cellStyle name="Normalny 7 4 2 4 2" xfId="3005" xr:uid="{00000000-0005-0000-0000-000063090000}"/>
    <cellStyle name="Normalny 7 4 2 5" xfId="2445" xr:uid="{00000000-0005-0000-0000-000064090000}"/>
    <cellStyle name="Normalny 7 4 3" xfId="808" xr:uid="{00000000-0005-0000-0000-000065090000}"/>
    <cellStyle name="Normalny 7 4 3 2" xfId="1353" xr:uid="{00000000-0005-0000-0000-000066090000}"/>
    <cellStyle name="Normalny 7 4 3 2 2" xfId="1893" xr:uid="{00000000-0005-0000-0000-000067090000}"/>
    <cellStyle name="Normalny 7 4 3 2 2 2" xfId="3010" xr:uid="{00000000-0005-0000-0000-000068090000}"/>
    <cellStyle name="Normalny 7 4 3 2 3" xfId="2450" xr:uid="{00000000-0005-0000-0000-000069090000}"/>
    <cellStyle name="Normalny 7 4 3 3" xfId="1892" xr:uid="{00000000-0005-0000-0000-00006A090000}"/>
    <cellStyle name="Normalny 7 4 3 3 2" xfId="3009" xr:uid="{00000000-0005-0000-0000-00006B090000}"/>
    <cellStyle name="Normalny 7 4 3 4" xfId="2449" xr:uid="{00000000-0005-0000-0000-00006C090000}"/>
    <cellStyle name="Normalny 7 4 4" xfId="1354" xr:uid="{00000000-0005-0000-0000-00006D090000}"/>
    <cellStyle name="Normalny 7 4 4 2" xfId="1894" xr:uid="{00000000-0005-0000-0000-00006E090000}"/>
    <cellStyle name="Normalny 7 4 4 2 2" xfId="3011" xr:uid="{00000000-0005-0000-0000-00006F090000}"/>
    <cellStyle name="Normalny 7 4 4 3" xfId="2451" xr:uid="{00000000-0005-0000-0000-000070090000}"/>
    <cellStyle name="Normalny 7 4 5" xfId="1887" xr:uid="{00000000-0005-0000-0000-000071090000}"/>
    <cellStyle name="Normalny 7 4 5 2" xfId="3004" xr:uid="{00000000-0005-0000-0000-000072090000}"/>
    <cellStyle name="Normalny 7 4 6" xfId="2444" xr:uid="{00000000-0005-0000-0000-000073090000}"/>
    <cellStyle name="Normalny 7 5" xfId="616" xr:uid="{00000000-0005-0000-0000-000074090000}"/>
    <cellStyle name="Normalny 7 5 2" xfId="864" xr:uid="{00000000-0005-0000-0000-000075090000}"/>
    <cellStyle name="Normalny 7 5 2 2" xfId="1355" xr:uid="{00000000-0005-0000-0000-000076090000}"/>
    <cellStyle name="Normalny 7 5 2 2 2" xfId="1356" xr:uid="{00000000-0005-0000-0000-000077090000}"/>
    <cellStyle name="Normalny 7 5 2 2 2 2" xfId="1898" xr:uid="{00000000-0005-0000-0000-000078090000}"/>
    <cellStyle name="Normalny 7 5 2 2 2 2 2" xfId="3015" xr:uid="{00000000-0005-0000-0000-000079090000}"/>
    <cellStyle name="Normalny 7 5 2 2 2 3" xfId="2455" xr:uid="{00000000-0005-0000-0000-00007A090000}"/>
    <cellStyle name="Normalny 7 5 2 2 3" xfId="1897" xr:uid="{00000000-0005-0000-0000-00007B090000}"/>
    <cellStyle name="Normalny 7 5 2 2 3 2" xfId="3014" xr:uid="{00000000-0005-0000-0000-00007C090000}"/>
    <cellStyle name="Normalny 7 5 2 2 4" xfId="2454" xr:uid="{00000000-0005-0000-0000-00007D090000}"/>
    <cellStyle name="Normalny 7 5 2 3" xfId="1357" xr:uid="{00000000-0005-0000-0000-00007E090000}"/>
    <cellStyle name="Normalny 7 5 2 3 2" xfId="1899" xr:uid="{00000000-0005-0000-0000-00007F090000}"/>
    <cellStyle name="Normalny 7 5 2 3 2 2" xfId="3016" xr:uid="{00000000-0005-0000-0000-000080090000}"/>
    <cellStyle name="Normalny 7 5 2 3 3" xfId="2456" xr:uid="{00000000-0005-0000-0000-000081090000}"/>
    <cellStyle name="Normalny 7 5 2 4" xfId="1896" xr:uid="{00000000-0005-0000-0000-000082090000}"/>
    <cellStyle name="Normalny 7 5 2 4 2" xfId="3013" xr:uid="{00000000-0005-0000-0000-000083090000}"/>
    <cellStyle name="Normalny 7 5 2 5" xfId="2453" xr:uid="{00000000-0005-0000-0000-000084090000}"/>
    <cellStyle name="Normalny 7 5 3" xfId="1358" xr:uid="{00000000-0005-0000-0000-000085090000}"/>
    <cellStyle name="Normalny 7 5 3 2" xfId="1359" xr:uid="{00000000-0005-0000-0000-000086090000}"/>
    <cellStyle name="Normalny 7 5 3 2 2" xfId="1901" xr:uid="{00000000-0005-0000-0000-000087090000}"/>
    <cellStyle name="Normalny 7 5 3 2 2 2" xfId="3018" xr:uid="{00000000-0005-0000-0000-000088090000}"/>
    <cellStyle name="Normalny 7 5 3 2 3" xfId="2458" xr:uid="{00000000-0005-0000-0000-000089090000}"/>
    <cellStyle name="Normalny 7 5 3 3" xfId="1900" xr:uid="{00000000-0005-0000-0000-00008A090000}"/>
    <cellStyle name="Normalny 7 5 3 3 2" xfId="3017" xr:uid="{00000000-0005-0000-0000-00008B090000}"/>
    <cellStyle name="Normalny 7 5 3 4" xfId="2457" xr:uid="{00000000-0005-0000-0000-00008C090000}"/>
    <cellStyle name="Normalny 7 5 4" xfId="1360" xr:uid="{00000000-0005-0000-0000-00008D090000}"/>
    <cellStyle name="Normalny 7 5 4 2" xfId="1902" xr:uid="{00000000-0005-0000-0000-00008E090000}"/>
    <cellStyle name="Normalny 7 5 4 2 2" xfId="3019" xr:uid="{00000000-0005-0000-0000-00008F090000}"/>
    <cellStyle name="Normalny 7 5 4 3" xfId="2459" xr:uid="{00000000-0005-0000-0000-000090090000}"/>
    <cellStyle name="Normalny 7 5 5" xfId="1895" xr:uid="{00000000-0005-0000-0000-000091090000}"/>
    <cellStyle name="Normalny 7 5 5 2" xfId="3012" xr:uid="{00000000-0005-0000-0000-000092090000}"/>
    <cellStyle name="Normalny 7 5 6" xfId="2452" xr:uid="{00000000-0005-0000-0000-000093090000}"/>
    <cellStyle name="Normalny 7 6" xfId="611" xr:uid="{00000000-0005-0000-0000-000094090000}"/>
    <cellStyle name="Normalny 7 6 2" xfId="1362" xr:uid="{00000000-0005-0000-0000-000095090000}"/>
    <cellStyle name="Normalny 7 6 2 2" xfId="1363" xr:uid="{00000000-0005-0000-0000-000096090000}"/>
    <cellStyle name="Normalny 7 6 2 2 2" xfId="1905" xr:uid="{00000000-0005-0000-0000-000097090000}"/>
    <cellStyle name="Normalny 7 6 2 2 2 2" xfId="3022" xr:uid="{00000000-0005-0000-0000-000098090000}"/>
    <cellStyle name="Normalny 7 6 2 2 3" xfId="2462" xr:uid="{00000000-0005-0000-0000-000099090000}"/>
    <cellStyle name="Normalny 7 6 2 3" xfId="1904" xr:uid="{00000000-0005-0000-0000-00009A090000}"/>
    <cellStyle name="Normalny 7 6 2 3 2" xfId="3021" xr:uid="{00000000-0005-0000-0000-00009B090000}"/>
    <cellStyle name="Normalny 7 6 2 4" xfId="2461" xr:uid="{00000000-0005-0000-0000-00009C090000}"/>
    <cellStyle name="Normalny 7 6 3" xfId="1364" xr:uid="{00000000-0005-0000-0000-00009D090000}"/>
    <cellStyle name="Normalny 7 6 3 2" xfId="1906" xr:uid="{00000000-0005-0000-0000-00009E090000}"/>
    <cellStyle name="Normalny 7 6 3 2 2" xfId="3023" xr:uid="{00000000-0005-0000-0000-00009F090000}"/>
    <cellStyle name="Normalny 7 6 3 3" xfId="2463" xr:uid="{00000000-0005-0000-0000-0000A0090000}"/>
    <cellStyle name="Normalny 7 6 4" xfId="1903" xr:uid="{00000000-0005-0000-0000-0000A1090000}"/>
    <cellStyle name="Normalny 7 6 4 2" xfId="3020" xr:uid="{00000000-0005-0000-0000-0000A2090000}"/>
    <cellStyle name="Normalny 7 6 5" xfId="2460" xr:uid="{00000000-0005-0000-0000-0000A3090000}"/>
    <cellStyle name="Normalny 7 6 6" xfId="1361" xr:uid="{00000000-0005-0000-0000-0000A4090000}"/>
    <cellStyle name="Normalny 7 7" xfId="986" xr:uid="{00000000-0005-0000-0000-0000A5090000}"/>
    <cellStyle name="Normalny 7 7 2" xfId="1365" xr:uid="{00000000-0005-0000-0000-0000A6090000}"/>
    <cellStyle name="Normalny 7 7 2 2" xfId="1908" xr:uid="{00000000-0005-0000-0000-0000A7090000}"/>
    <cellStyle name="Normalny 7 7 2 2 2" xfId="3025" xr:uid="{00000000-0005-0000-0000-0000A8090000}"/>
    <cellStyle name="Normalny 7 7 2 3" xfId="2465" xr:uid="{00000000-0005-0000-0000-0000A9090000}"/>
    <cellStyle name="Normalny 7 7 3" xfId="1907" xr:uid="{00000000-0005-0000-0000-0000AA090000}"/>
    <cellStyle name="Normalny 7 7 3 2" xfId="3024" xr:uid="{00000000-0005-0000-0000-0000AB090000}"/>
    <cellStyle name="Normalny 7 7 4" xfId="2464" xr:uid="{00000000-0005-0000-0000-0000AC090000}"/>
    <cellStyle name="Normalny 7 8" xfId="1077" xr:uid="{00000000-0005-0000-0000-0000AD090000}"/>
    <cellStyle name="Normalny 7 8 2" xfId="1087" xr:uid="{00000000-0005-0000-0000-0000AE090000}"/>
    <cellStyle name="Normalny 7 8 2 2" xfId="3026" xr:uid="{00000000-0005-0000-0000-0000AF090000}"/>
    <cellStyle name="Normalny 7 8 2 3" xfId="1909" xr:uid="{00000000-0005-0000-0000-0000B0090000}"/>
    <cellStyle name="Normalny 7 8 2 4" xfId="3146" xr:uid="{00000000-0005-0000-0000-0000B1090000}"/>
    <cellStyle name="Normalny 7 8 2 5" xfId="3156" xr:uid="{00000000-0005-0000-0000-0000B2090000}"/>
    <cellStyle name="Normalny 7 8 2 6" xfId="3166" xr:uid="{00000000-0005-0000-0000-0000B3090000}"/>
    <cellStyle name="Normalny 7 8 2 7" xfId="3176" xr:uid="{00000000-0005-0000-0000-0000B4090000}"/>
    <cellStyle name="Normalny 7 8 3" xfId="2466" xr:uid="{00000000-0005-0000-0000-0000B5090000}"/>
    <cellStyle name="Normalny 7 8 4" xfId="1366" xr:uid="{00000000-0005-0000-0000-0000B6090000}"/>
    <cellStyle name="Normalny 7 9" xfId="394" xr:uid="{00000000-0005-0000-0000-0000B7090000}"/>
    <cellStyle name="Normalny 7 9 2" xfId="2593" xr:uid="{00000000-0005-0000-0000-0000B8090000}"/>
    <cellStyle name="Normalny 7 9 3" xfId="1473" xr:uid="{00000000-0005-0000-0000-0000B9090000}"/>
    <cellStyle name="Normalny 8" xfId="58" xr:uid="{00000000-0005-0000-0000-0000BA090000}"/>
    <cellStyle name="Normalny 8 10" xfId="2054" xr:uid="{00000000-0005-0000-0000-0000BB090000}"/>
    <cellStyle name="Normalny 8 2" xfId="97" xr:uid="{00000000-0005-0000-0000-0000BC090000}"/>
    <cellStyle name="Normalny 8 2 2" xfId="264" xr:uid="{00000000-0005-0000-0000-0000BD090000}"/>
    <cellStyle name="Normalny 8 2 2 2" xfId="686" xr:uid="{00000000-0005-0000-0000-0000BE090000}"/>
    <cellStyle name="Normalny 8 2 2 2 2" xfId="938" xr:uid="{00000000-0005-0000-0000-0000BF090000}"/>
    <cellStyle name="Normalny 8 2 2 2 2 2" xfId="1367" xr:uid="{00000000-0005-0000-0000-0000C0090000}"/>
    <cellStyle name="Normalny 8 2 2 2 2 2 2" xfId="1912" xr:uid="{00000000-0005-0000-0000-0000C1090000}"/>
    <cellStyle name="Normalny 8 2 2 2 2 2 2 2" xfId="3029" xr:uid="{00000000-0005-0000-0000-0000C2090000}"/>
    <cellStyle name="Normalny 8 2 2 2 2 2 3" xfId="2469" xr:uid="{00000000-0005-0000-0000-0000C3090000}"/>
    <cellStyle name="Normalny 8 2 2 2 2 3" xfId="1911" xr:uid="{00000000-0005-0000-0000-0000C4090000}"/>
    <cellStyle name="Normalny 8 2 2 2 2 3 2" xfId="3028" xr:uid="{00000000-0005-0000-0000-0000C5090000}"/>
    <cellStyle name="Normalny 8 2 2 2 2 4" xfId="2468" xr:uid="{00000000-0005-0000-0000-0000C6090000}"/>
    <cellStyle name="Normalny 8 2 2 2 3" xfId="1368" xr:uid="{00000000-0005-0000-0000-0000C7090000}"/>
    <cellStyle name="Normalny 8 2 2 2 3 2" xfId="1913" xr:uid="{00000000-0005-0000-0000-0000C8090000}"/>
    <cellStyle name="Normalny 8 2 2 2 3 2 2" xfId="3030" xr:uid="{00000000-0005-0000-0000-0000C9090000}"/>
    <cellStyle name="Normalny 8 2 2 2 3 3" xfId="2470" xr:uid="{00000000-0005-0000-0000-0000CA090000}"/>
    <cellStyle name="Normalny 8 2 2 2 4" xfId="1910" xr:uid="{00000000-0005-0000-0000-0000CB090000}"/>
    <cellStyle name="Normalny 8 2 2 2 4 2" xfId="3027" xr:uid="{00000000-0005-0000-0000-0000CC090000}"/>
    <cellStyle name="Normalny 8 2 2 2 5" xfId="2467" xr:uid="{00000000-0005-0000-0000-0000CD090000}"/>
    <cellStyle name="Normalny 8 2 2 3" xfId="1057" xr:uid="{00000000-0005-0000-0000-0000CE090000}"/>
    <cellStyle name="Normalny 8 2 2 3 2" xfId="1369" xr:uid="{00000000-0005-0000-0000-0000CF090000}"/>
    <cellStyle name="Normalny 8 2 2 3 2 2" xfId="1915" xr:uid="{00000000-0005-0000-0000-0000D0090000}"/>
    <cellStyle name="Normalny 8 2 2 3 2 2 2" xfId="3032" xr:uid="{00000000-0005-0000-0000-0000D1090000}"/>
    <cellStyle name="Normalny 8 2 2 3 2 3" xfId="2472" xr:uid="{00000000-0005-0000-0000-0000D2090000}"/>
    <cellStyle name="Normalny 8 2 2 3 3" xfId="1914" xr:uid="{00000000-0005-0000-0000-0000D3090000}"/>
    <cellStyle name="Normalny 8 2 2 3 3 2" xfId="3031" xr:uid="{00000000-0005-0000-0000-0000D4090000}"/>
    <cellStyle name="Normalny 8 2 2 3 4" xfId="2471" xr:uid="{00000000-0005-0000-0000-0000D5090000}"/>
    <cellStyle name="Normalny 8 2 2 4" xfId="825" xr:uid="{00000000-0005-0000-0000-0000D6090000}"/>
    <cellStyle name="Normalny 8 2 2 4 2" xfId="1916" xr:uid="{00000000-0005-0000-0000-0000D7090000}"/>
    <cellStyle name="Normalny 8 2 2 4 2 2" xfId="3033" xr:uid="{00000000-0005-0000-0000-0000D8090000}"/>
    <cellStyle name="Normalny 8 2 2 4 3" xfId="2473" xr:uid="{00000000-0005-0000-0000-0000D9090000}"/>
    <cellStyle name="Normalny 8 2 2 5" xfId="1544" xr:uid="{00000000-0005-0000-0000-0000DA090000}"/>
    <cellStyle name="Normalny 8 2 2 5 2" xfId="2659" xr:uid="{00000000-0005-0000-0000-0000DB090000}"/>
    <cellStyle name="Normalny 8 2 2 6" xfId="2100" xr:uid="{00000000-0005-0000-0000-0000DC090000}"/>
    <cellStyle name="Normalny 8 2 3" xfId="313" xr:uid="{00000000-0005-0000-0000-0000DD090000}"/>
    <cellStyle name="Normalny 8 2 3 2" xfId="881" xr:uid="{00000000-0005-0000-0000-0000DE090000}"/>
    <cellStyle name="Normalny 8 2 3 2 2" xfId="1370" xr:uid="{00000000-0005-0000-0000-0000DF090000}"/>
    <cellStyle name="Normalny 8 2 3 2 2 2" xfId="1371" xr:uid="{00000000-0005-0000-0000-0000E0090000}"/>
    <cellStyle name="Normalny 8 2 3 2 2 2 2" xfId="1920" xr:uid="{00000000-0005-0000-0000-0000E1090000}"/>
    <cellStyle name="Normalny 8 2 3 2 2 2 2 2" xfId="3037" xr:uid="{00000000-0005-0000-0000-0000E2090000}"/>
    <cellStyle name="Normalny 8 2 3 2 2 2 3" xfId="2477" xr:uid="{00000000-0005-0000-0000-0000E3090000}"/>
    <cellStyle name="Normalny 8 2 3 2 2 3" xfId="1919" xr:uid="{00000000-0005-0000-0000-0000E4090000}"/>
    <cellStyle name="Normalny 8 2 3 2 2 3 2" xfId="3036" xr:uid="{00000000-0005-0000-0000-0000E5090000}"/>
    <cellStyle name="Normalny 8 2 3 2 2 4" xfId="2476" xr:uid="{00000000-0005-0000-0000-0000E6090000}"/>
    <cellStyle name="Normalny 8 2 3 2 3" xfId="1372" xr:uid="{00000000-0005-0000-0000-0000E7090000}"/>
    <cellStyle name="Normalny 8 2 3 2 3 2" xfId="1921" xr:uid="{00000000-0005-0000-0000-0000E8090000}"/>
    <cellStyle name="Normalny 8 2 3 2 3 2 2" xfId="3038" xr:uid="{00000000-0005-0000-0000-0000E9090000}"/>
    <cellStyle name="Normalny 8 2 3 2 3 3" xfId="2478" xr:uid="{00000000-0005-0000-0000-0000EA090000}"/>
    <cellStyle name="Normalny 8 2 3 2 4" xfId="1918" xr:uid="{00000000-0005-0000-0000-0000EB090000}"/>
    <cellStyle name="Normalny 8 2 3 2 4 2" xfId="3035" xr:uid="{00000000-0005-0000-0000-0000EC090000}"/>
    <cellStyle name="Normalny 8 2 3 2 5" xfId="2475" xr:uid="{00000000-0005-0000-0000-0000ED090000}"/>
    <cellStyle name="Normalny 8 2 3 3" xfId="1373" xr:uid="{00000000-0005-0000-0000-0000EE090000}"/>
    <cellStyle name="Normalny 8 2 3 3 2" xfId="1374" xr:uid="{00000000-0005-0000-0000-0000EF090000}"/>
    <cellStyle name="Normalny 8 2 3 3 2 2" xfId="1923" xr:uid="{00000000-0005-0000-0000-0000F0090000}"/>
    <cellStyle name="Normalny 8 2 3 3 2 2 2" xfId="3040" xr:uid="{00000000-0005-0000-0000-0000F1090000}"/>
    <cellStyle name="Normalny 8 2 3 3 2 3" xfId="2480" xr:uid="{00000000-0005-0000-0000-0000F2090000}"/>
    <cellStyle name="Normalny 8 2 3 3 3" xfId="1922" xr:uid="{00000000-0005-0000-0000-0000F3090000}"/>
    <cellStyle name="Normalny 8 2 3 3 3 2" xfId="3039" xr:uid="{00000000-0005-0000-0000-0000F4090000}"/>
    <cellStyle name="Normalny 8 2 3 3 4" xfId="2479" xr:uid="{00000000-0005-0000-0000-0000F5090000}"/>
    <cellStyle name="Normalny 8 2 3 4" xfId="1375" xr:uid="{00000000-0005-0000-0000-0000F6090000}"/>
    <cellStyle name="Normalny 8 2 3 4 2" xfId="1924" xr:uid="{00000000-0005-0000-0000-0000F7090000}"/>
    <cellStyle name="Normalny 8 2 3 4 2 2" xfId="3041" xr:uid="{00000000-0005-0000-0000-0000F8090000}"/>
    <cellStyle name="Normalny 8 2 3 4 3" xfId="2481" xr:uid="{00000000-0005-0000-0000-0000F9090000}"/>
    <cellStyle name="Normalny 8 2 3 5" xfId="1917" xr:uid="{00000000-0005-0000-0000-0000FA090000}"/>
    <cellStyle name="Normalny 8 2 3 5 2" xfId="3034" xr:uid="{00000000-0005-0000-0000-0000FB090000}"/>
    <cellStyle name="Normalny 8 2 3 6" xfId="2474" xr:uid="{00000000-0005-0000-0000-0000FC090000}"/>
    <cellStyle name="Normalny 8 2 4" xfId="1003" xr:uid="{00000000-0005-0000-0000-0000FD090000}"/>
    <cellStyle name="Normalny 8 2 4 2" xfId="1376" xr:uid="{00000000-0005-0000-0000-0000FE090000}"/>
    <cellStyle name="Normalny 8 2 4 2 2" xfId="1377" xr:uid="{00000000-0005-0000-0000-0000FF090000}"/>
    <cellStyle name="Normalny 8 2 4 2 2 2" xfId="1378" xr:uid="{00000000-0005-0000-0000-0000000A0000}"/>
    <cellStyle name="Normalny 8 2 4 2 2 2 2" xfId="1928" xr:uid="{00000000-0005-0000-0000-0000010A0000}"/>
    <cellStyle name="Normalny 8 2 4 2 2 2 2 2" xfId="3045" xr:uid="{00000000-0005-0000-0000-0000020A0000}"/>
    <cellStyle name="Normalny 8 2 4 2 2 2 3" xfId="2485" xr:uid="{00000000-0005-0000-0000-0000030A0000}"/>
    <cellStyle name="Normalny 8 2 4 2 2 3" xfId="1927" xr:uid="{00000000-0005-0000-0000-0000040A0000}"/>
    <cellStyle name="Normalny 8 2 4 2 2 3 2" xfId="3044" xr:uid="{00000000-0005-0000-0000-0000050A0000}"/>
    <cellStyle name="Normalny 8 2 4 2 2 4" xfId="2484" xr:uid="{00000000-0005-0000-0000-0000060A0000}"/>
    <cellStyle name="Normalny 8 2 4 2 3" xfId="1379" xr:uid="{00000000-0005-0000-0000-0000070A0000}"/>
    <cellStyle name="Normalny 8 2 4 2 3 2" xfId="1929" xr:uid="{00000000-0005-0000-0000-0000080A0000}"/>
    <cellStyle name="Normalny 8 2 4 2 3 2 2" xfId="3046" xr:uid="{00000000-0005-0000-0000-0000090A0000}"/>
    <cellStyle name="Normalny 8 2 4 2 3 3" xfId="2486" xr:uid="{00000000-0005-0000-0000-00000A0A0000}"/>
    <cellStyle name="Normalny 8 2 4 2 4" xfId="1926" xr:uid="{00000000-0005-0000-0000-00000B0A0000}"/>
    <cellStyle name="Normalny 8 2 4 2 4 2" xfId="3043" xr:uid="{00000000-0005-0000-0000-00000C0A0000}"/>
    <cellStyle name="Normalny 8 2 4 2 5" xfId="2483" xr:uid="{00000000-0005-0000-0000-00000D0A0000}"/>
    <cellStyle name="Normalny 8 2 4 3" xfId="1380" xr:uid="{00000000-0005-0000-0000-00000E0A0000}"/>
    <cellStyle name="Normalny 8 2 4 3 2" xfId="1381" xr:uid="{00000000-0005-0000-0000-00000F0A0000}"/>
    <cellStyle name="Normalny 8 2 4 3 2 2" xfId="1931" xr:uid="{00000000-0005-0000-0000-0000100A0000}"/>
    <cellStyle name="Normalny 8 2 4 3 2 2 2" xfId="3048" xr:uid="{00000000-0005-0000-0000-0000110A0000}"/>
    <cellStyle name="Normalny 8 2 4 3 2 3" xfId="2488" xr:uid="{00000000-0005-0000-0000-0000120A0000}"/>
    <cellStyle name="Normalny 8 2 4 3 3" xfId="1930" xr:uid="{00000000-0005-0000-0000-0000130A0000}"/>
    <cellStyle name="Normalny 8 2 4 3 3 2" xfId="3047" xr:uid="{00000000-0005-0000-0000-0000140A0000}"/>
    <cellStyle name="Normalny 8 2 4 3 4" xfId="2487" xr:uid="{00000000-0005-0000-0000-0000150A0000}"/>
    <cellStyle name="Normalny 8 2 4 4" xfId="1382" xr:uid="{00000000-0005-0000-0000-0000160A0000}"/>
    <cellStyle name="Normalny 8 2 4 4 2" xfId="1932" xr:uid="{00000000-0005-0000-0000-0000170A0000}"/>
    <cellStyle name="Normalny 8 2 4 4 2 2" xfId="3049" xr:uid="{00000000-0005-0000-0000-0000180A0000}"/>
    <cellStyle name="Normalny 8 2 4 4 3" xfId="2489" xr:uid="{00000000-0005-0000-0000-0000190A0000}"/>
    <cellStyle name="Normalny 8 2 4 5" xfId="1925" xr:uid="{00000000-0005-0000-0000-00001A0A0000}"/>
    <cellStyle name="Normalny 8 2 4 5 2" xfId="3042" xr:uid="{00000000-0005-0000-0000-00001B0A0000}"/>
    <cellStyle name="Normalny 8 2 4 6" xfId="2482" xr:uid="{00000000-0005-0000-0000-00001C0A0000}"/>
    <cellStyle name="Normalny 8 2 5" xfId="774" xr:uid="{00000000-0005-0000-0000-00001D0A0000}"/>
    <cellStyle name="Normalny 8 2 5 2" xfId="1383" xr:uid="{00000000-0005-0000-0000-00001E0A0000}"/>
    <cellStyle name="Normalny 8 2 5 2 2" xfId="1384" xr:uid="{00000000-0005-0000-0000-00001F0A0000}"/>
    <cellStyle name="Normalny 8 2 5 2 2 2" xfId="1935" xr:uid="{00000000-0005-0000-0000-0000200A0000}"/>
    <cellStyle name="Normalny 8 2 5 2 2 2 2" xfId="3052" xr:uid="{00000000-0005-0000-0000-0000210A0000}"/>
    <cellStyle name="Normalny 8 2 5 2 2 3" xfId="2492" xr:uid="{00000000-0005-0000-0000-0000220A0000}"/>
    <cellStyle name="Normalny 8 2 5 2 3" xfId="1934" xr:uid="{00000000-0005-0000-0000-0000230A0000}"/>
    <cellStyle name="Normalny 8 2 5 2 3 2" xfId="3051" xr:uid="{00000000-0005-0000-0000-0000240A0000}"/>
    <cellStyle name="Normalny 8 2 5 2 4" xfId="2491" xr:uid="{00000000-0005-0000-0000-0000250A0000}"/>
    <cellStyle name="Normalny 8 2 5 3" xfId="1385" xr:uid="{00000000-0005-0000-0000-0000260A0000}"/>
    <cellStyle name="Normalny 8 2 5 3 2" xfId="1936" xr:uid="{00000000-0005-0000-0000-0000270A0000}"/>
    <cellStyle name="Normalny 8 2 5 3 2 2" xfId="3053" xr:uid="{00000000-0005-0000-0000-0000280A0000}"/>
    <cellStyle name="Normalny 8 2 5 3 3" xfId="2493" xr:uid="{00000000-0005-0000-0000-0000290A0000}"/>
    <cellStyle name="Normalny 8 2 5 4" xfId="1933" xr:uid="{00000000-0005-0000-0000-00002A0A0000}"/>
    <cellStyle name="Normalny 8 2 5 4 2" xfId="3050" xr:uid="{00000000-0005-0000-0000-00002B0A0000}"/>
    <cellStyle name="Normalny 8 2 5 5" xfId="2490" xr:uid="{00000000-0005-0000-0000-00002C0A0000}"/>
    <cellStyle name="Normalny 8 2 6" xfId="1386" xr:uid="{00000000-0005-0000-0000-00002D0A0000}"/>
    <cellStyle name="Normalny 8 2 6 2" xfId="1387" xr:uid="{00000000-0005-0000-0000-00002E0A0000}"/>
    <cellStyle name="Normalny 8 2 6 2 2" xfId="1938" xr:uid="{00000000-0005-0000-0000-00002F0A0000}"/>
    <cellStyle name="Normalny 8 2 6 2 2 2" xfId="3055" xr:uid="{00000000-0005-0000-0000-0000300A0000}"/>
    <cellStyle name="Normalny 8 2 6 2 3" xfId="2495" xr:uid="{00000000-0005-0000-0000-0000310A0000}"/>
    <cellStyle name="Normalny 8 2 6 3" xfId="1937" xr:uid="{00000000-0005-0000-0000-0000320A0000}"/>
    <cellStyle name="Normalny 8 2 6 3 2" xfId="3054" xr:uid="{00000000-0005-0000-0000-0000330A0000}"/>
    <cellStyle name="Normalny 8 2 6 4" xfId="2494" xr:uid="{00000000-0005-0000-0000-0000340A0000}"/>
    <cellStyle name="Normalny 8 2 7" xfId="1388" xr:uid="{00000000-0005-0000-0000-0000350A0000}"/>
    <cellStyle name="Normalny 8 2 7 2" xfId="1939" xr:uid="{00000000-0005-0000-0000-0000360A0000}"/>
    <cellStyle name="Normalny 8 2 7 2 2" xfId="3056" xr:uid="{00000000-0005-0000-0000-0000370A0000}"/>
    <cellStyle name="Normalny 8 2 7 3" xfId="2496" xr:uid="{00000000-0005-0000-0000-0000380A0000}"/>
    <cellStyle name="Normalny 8 2 8" xfId="1529" xr:uid="{00000000-0005-0000-0000-0000390A0000}"/>
    <cellStyle name="Normalny 8 2 8 2" xfId="2651" xr:uid="{00000000-0005-0000-0000-00003A0A0000}"/>
    <cellStyle name="Normalny 8 2 9" xfId="2093" xr:uid="{00000000-0005-0000-0000-00003B0A0000}"/>
    <cellStyle name="Normalny 8 3" xfId="248" xr:uid="{00000000-0005-0000-0000-00003C0A0000}"/>
    <cellStyle name="Normalny 8 3 2" xfId="670" xr:uid="{00000000-0005-0000-0000-00003D0A0000}"/>
    <cellStyle name="Normalny 8 3 2 2" xfId="922" xr:uid="{00000000-0005-0000-0000-00003E0A0000}"/>
    <cellStyle name="Normalny 8 3 2 2 2" xfId="1389" xr:uid="{00000000-0005-0000-0000-00003F0A0000}"/>
    <cellStyle name="Normalny 8 3 2 2 2 2" xfId="1942" xr:uid="{00000000-0005-0000-0000-0000400A0000}"/>
    <cellStyle name="Normalny 8 3 2 2 2 2 2" xfId="3059" xr:uid="{00000000-0005-0000-0000-0000410A0000}"/>
    <cellStyle name="Normalny 8 3 2 2 2 3" xfId="2499" xr:uid="{00000000-0005-0000-0000-0000420A0000}"/>
    <cellStyle name="Normalny 8 3 2 2 3" xfId="1941" xr:uid="{00000000-0005-0000-0000-0000430A0000}"/>
    <cellStyle name="Normalny 8 3 2 2 3 2" xfId="3058" xr:uid="{00000000-0005-0000-0000-0000440A0000}"/>
    <cellStyle name="Normalny 8 3 2 2 4" xfId="2498" xr:uid="{00000000-0005-0000-0000-0000450A0000}"/>
    <cellStyle name="Normalny 8 3 2 3" xfId="1390" xr:uid="{00000000-0005-0000-0000-0000460A0000}"/>
    <cellStyle name="Normalny 8 3 2 3 2" xfId="1943" xr:uid="{00000000-0005-0000-0000-0000470A0000}"/>
    <cellStyle name="Normalny 8 3 2 3 2 2" xfId="3060" xr:uid="{00000000-0005-0000-0000-0000480A0000}"/>
    <cellStyle name="Normalny 8 3 2 3 3" xfId="2500" xr:uid="{00000000-0005-0000-0000-0000490A0000}"/>
    <cellStyle name="Normalny 8 3 2 4" xfId="1940" xr:uid="{00000000-0005-0000-0000-00004A0A0000}"/>
    <cellStyle name="Normalny 8 3 2 4 2" xfId="3057" xr:uid="{00000000-0005-0000-0000-00004B0A0000}"/>
    <cellStyle name="Normalny 8 3 2 5" xfId="2497" xr:uid="{00000000-0005-0000-0000-00004C0A0000}"/>
    <cellStyle name="Normalny 8 3 3" xfId="1041" xr:uid="{00000000-0005-0000-0000-00004D0A0000}"/>
    <cellStyle name="Normalny 8 3 3 2" xfId="1391" xr:uid="{00000000-0005-0000-0000-00004E0A0000}"/>
    <cellStyle name="Normalny 8 3 3 2 2" xfId="1945" xr:uid="{00000000-0005-0000-0000-00004F0A0000}"/>
    <cellStyle name="Normalny 8 3 3 2 2 2" xfId="3062" xr:uid="{00000000-0005-0000-0000-0000500A0000}"/>
    <cellStyle name="Normalny 8 3 3 2 3" xfId="2502" xr:uid="{00000000-0005-0000-0000-0000510A0000}"/>
    <cellStyle name="Normalny 8 3 3 3" xfId="1944" xr:uid="{00000000-0005-0000-0000-0000520A0000}"/>
    <cellStyle name="Normalny 8 3 3 3 2" xfId="3061" xr:uid="{00000000-0005-0000-0000-0000530A0000}"/>
    <cellStyle name="Normalny 8 3 3 4" xfId="2501" xr:uid="{00000000-0005-0000-0000-0000540A0000}"/>
    <cellStyle name="Normalny 8 3 4" xfId="809" xr:uid="{00000000-0005-0000-0000-0000550A0000}"/>
    <cellStyle name="Normalny 8 3 4 2" xfId="1946" xr:uid="{00000000-0005-0000-0000-0000560A0000}"/>
    <cellStyle name="Normalny 8 3 4 2 2" xfId="3063" xr:uid="{00000000-0005-0000-0000-0000570A0000}"/>
    <cellStyle name="Normalny 8 3 4 3" xfId="2503" xr:uid="{00000000-0005-0000-0000-0000580A0000}"/>
    <cellStyle name="Normalny 8 3 5" xfId="1540" xr:uid="{00000000-0005-0000-0000-0000590A0000}"/>
    <cellStyle name="Normalny 8 3 5 2" xfId="2655" xr:uid="{00000000-0005-0000-0000-00005A0A0000}"/>
    <cellStyle name="Normalny 8 3 6" xfId="2097" xr:uid="{00000000-0005-0000-0000-00005B0A0000}"/>
    <cellStyle name="Normalny 8 4" xfId="312" xr:uid="{00000000-0005-0000-0000-00005C0A0000}"/>
    <cellStyle name="Normalny 8 4 2" xfId="865" xr:uid="{00000000-0005-0000-0000-00005D0A0000}"/>
    <cellStyle name="Normalny 8 4 2 2" xfId="1392" xr:uid="{00000000-0005-0000-0000-00005E0A0000}"/>
    <cellStyle name="Normalny 8 4 2 2 2" xfId="1393" xr:uid="{00000000-0005-0000-0000-00005F0A0000}"/>
    <cellStyle name="Normalny 8 4 2 2 2 2" xfId="1950" xr:uid="{00000000-0005-0000-0000-0000600A0000}"/>
    <cellStyle name="Normalny 8 4 2 2 2 2 2" xfId="3067" xr:uid="{00000000-0005-0000-0000-0000610A0000}"/>
    <cellStyle name="Normalny 8 4 2 2 2 3" xfId="2507" xr:uid="{00000000-0005-0000-0000-0000620A0000}"/>
    <cellStyle name="Normalny 8 4 2 2 3" xfId="1949" xr:uid="{00000000-0005-0000-0000-0000630A0000}"/>
    <cellStyle name="Normalny 8 4 2 2 3 2" xfId="3066" xr:uid="{00000000-0005-0000-0000-0000640A0000}"/>
    <cellStyle name="Normalny 8 4 2 2 4" xfId="2506" xr:uid="{00000000-0005-0000-0000-0000650A0000}"/>
    <cellStyle name="Normalny 8 4 2 3" xfId="1394" xr:uid="{00000000-0005-0000-0000-0000660A0000}"/>
    <cellStyle name="Normalny 8 4 2 3 2" xfId="1951" xr:uid="{00000000-0005-0000-0000-0000670A0000}"/>
    <cellStyle name="Normalny 8 4 2 3 2 2" xfId="3068" xr:uid="{00000000-0005-0000-0000-0000680A0000}"/>
    <cellStyle name="Normalny 8 4 2 3 3" xfId="2508" xr:uid="{00000000-0005-0000-0000-0000690A0000}"/>
    <cellStyle name="Normalny 8 4 2 4" xfId="1948" xr:uid="{00000000-0005-0000-0000-00006A0A0000}"/>
    <cellStyle name="Normalny 8 4 2 4 2" xfId="3065" xr:uid="{00000000-0005-0000-0000-00006B0A0000}"/>
    <cellStyle name="Normalny 8 4 2 5" xfId="2505" xr:uid="{00000000-0005-0000-0000-00006C0A0000}"/>
    <cellStyle name="Normalny 8 4 3" xfId="1395" xr:uid="{00000000-0005-0000-0000-00006D0A0000}"/>
    <cellStyle name="Normalny 8 4 3 2" xfId="1396" xr:uid="{00000000-0005-0000-0000-00006E0A0000}"/>
    <cellStyle name="Normalny 8 4 3 2 2" xfId="1953" xr:uid="{00000000-0005-0000-0000-00006F0A0000}"/>
    <cellStyle name="Normalny 8 4 3 2 2 2" xfId="3070" xr:uid="{00000000-0005-0000-0000-0000700A0000}"/>
    <cellStyle name="Normalny 8 4 3 2 3" xfId="2510" xr:uid="{00000000-0005-0000-0000-0000710A0000}"/>
    <cellStyle name="Normalny 8 4 3 3" xfId="1952" xr:uid="{00000000-0005-0000-0000-0000720A0000}"/>
    <cellStyle name="Normalny 8 4 3 3 2" xfId="3069" xr:uid="{00000000-0005-0000-0000-0000730A0000}"/>
    <cellStyle name="Normalny 8 4 3 4" xfId="2509" xr:uid="{00000000-0005-0000-0000-0000740A0000}"/>
    <cellStyle name="Normalny 8 4 4" xfId="1397" xr:uid="{00000000-0005-0000-0000-0000750A0000}"/>
    <cellStyle name="Normalny 8 4 4 2" xfId="1954" xr:uid="{00000000-0005-0000-0000-0000760A0000}"/>
    <cellStyle name="Normalny 8 4 4 2 2" xfId="3071" xr:uid="{00000000-0005-0000-0000-0000770A0000}"/>
    <cellStyle name="Normalny 8 4 4 3" xfId="2511" xr:uid="{00000000-0005-0000-0000-0000780A0000}"/>
    <cellStyle name="Normalny 8 4 5" xfId="1947" xr:uid="{00000000-0005-0000-0000-0000790A0000}"/>
    <cellStyle name="Normalny 8 4 5 2" xfId="3064" xr:uid="{00000000-0005-0000-0000-00007A0A0000}"/>
    <cellStyle name="Normalny 8 4 6" xfId="2504" xr:uid="{00000000-0005-0000-0000-00007B0A0000}"/>
    <cellStyle name="Normalny 8 5" xfId="987" xr:uid="{00000000-0005-0000-0000-00007C0A0000}"/>
    <cellStyle name="Normalny 8 5 2" xfId="1398" xr:uid="{00000000-0005-0000-0000-00007D0A0000}"/>
    <cellStyle name="Normalny 8 5 2 2" xfId="1399" xr:uid="{00000000-0005-0000-0000-00007E0A0000}"/>
    <cellStyle name="Normalny 8 5 2 2 2" xfId="1400" xr:uid="{00000000-0005-0000-0000-00007F0A0000}"/>
    <cellStyle name="Normalny 8 5 2 2 2 2" xfId="1958" xr:uid="{00000000-0005-0000-0000-0000800A0000}"/>
    <cellStyle name="Normalny 8 5 2 2 2 2 2" xfId="3075" xr:uid="{00000000-0005-0000-0000-0000810A0000}"/>
    <cellStyle name="Normalny 8 5 2 2 2 3" xfId="2515" xr:uid="{00000000-0005-0000-0000-0000820A0000}"/>
    <cellStyle name="Normalny 8 5 2 2 3" xfId="1957" xr:uid="{00000000-0005-0000-0000-0000830A0000}"/>
    <cellStyle name="Normalny 8 5 2 2 3 2" xfId="3074" xr:uid="{00000000-0005-0000-0000-0000840A0000}"/>
    <cellStyle name="Normalny 8 5 2 2 4" xfId="2514" xr:uid="{00000000-0005-0000-0000-0000850A0000}"/>
    <cellStyle name="Normalny 8 5 2 3" xfId="1401" xr:uid="{00000000-0005-0000-0000-0000860A0000}"/>
    <cellStyle name="Normalny 8 5 2 3 2" xfId="1959" xr:uid="{00000000-0005-0000-0000-0000870A0000}"/>
    <cellStyle name="Normalny 8 5 2 3 2 2" xfId="3076" xr:uid="{00000000-0005-0000-0000-0000880A0000}"/>
    <cellStyle name="Normalny 8 5 2 3 3" xfId="2516" xr:uid="{00000000-0005-0000-0000-0000890A0000}"/>
    <cellStyle name="Normalny 8 5 2 4" xfId="1956" xr:uid="{00000000-0005-0000-0000-00008A0A0000}"/>
    <cellStyle name="Normalny 8 5 2 4 2" xfId="3073" xr:uid="{00000000-0005-0000-0000-00008B0A0000}"/>
    <cellStyle name="Normalny 8 5 2 5" xfId="2513" xr:uid="{00000000-0005-0000-0000-00008C0A0000}"/>
    <cellStyle name="Normalny 8 5 3" xfId="1402" xr:uid="{00000000-0005-0000-0000-00008D0A0000}"/>
    <cellStyle name="Normalny 8 5 3 2" xfId="1403" xr:uid="{00000000-0005-0000-0000-00008E0A0000}"/>
    <cellStyle name="Normalny 8 5 3 2 2" xfId="1961" xr:uid="{00000000-0005-0000-0000-00008F0A0000}"/>
    <cellStyle name="Normalny 8 5 3 2 2 2" xfId="3078" xr:uid="{00000000-0005-0000-0000-0000900A0000}"/>
    <cellStyle name="Normalny 8 5 3 2 3" xfId="2518" xr:uid="{00000000-0005-0000-0000-0000910A0000}"/>
    <cellStyle name="Normalny 8 5 3 3" xfId="1960" xr:uid="{00000000-0005-0000-0000-0000920A0000}"/>
    <cellStyle name="Normalny 8 5 3 3 2" xfId="3077" xr:uid="{00000000-0005-0000-0000-0000930A0000}"/>
    <cellStyle name="Normalny 8 5 3 4" xfId="2517" xr:uid="{00000000-0005-0000-0000-0000940A0000}"/>
    <cellStyle name="Normalny 8 5 4" xfId="1404" xr:uid="{00000000-0005-0000-0000-0000950A0000}"/>
    <cellStyle name="Normalny 8 5 4 2" xfId="1962" xr:uid="{00000000-0005-0000-0000-0000960A0000}"/>
    <cellStyle name="Normalny 8 5 4 2 2" xfId="3079" xr:uid="{00000000-0005-0000-0000-0000970A0000}"/>
    <cellStyle name="Normalny 8 5 4 3" xfId="2519" xr:uid="{00000000-0005-0000-0000-0000980A0000}"/>
    <cellStyle name="Normalny 8 5 5" xfId="1955" xr:uid="{00000000-0005-0000-0000-0000990A0000}"/>
    <cellStyle name="Normalny 8 5 5 2" xfId="3072" xr:uid="{00000000-0005-0000-0000-00009A0A0000}"/>
    <cellStyle name="Normalny 8 5 6" xfId="2512" xr:uid="{00000000-0005-0000-0000-00009B0A0000}"/>
    <cellStyle name="Normalny 8 6" xfId="758" xr:uid="{00000000-0005-0000-0000-00009C0A0000}"/>
    <cellStyle name="Normalny 8 6 2" xfId="1405" xr:uid="{00000000-0005-0000-0000-00009D0A0000}"/>
    <cellStyle name="Normalny 8 6 2 2" xfId="1406" xr:uid="{00000000-0005-0000-0000-00009E0A0000}"/>
    <cellStyle name="Normalny 8 6 2 2 2" xfId="1965" xr:uid="{00000000-0005-0000-0000-00009F0A0000}"/>
    <cellStyle name="Normalny 8 6 2 2 2 2" xfId="3082" xr:uid="{00000000-0005-0000-0000-0000A00A0000}"/>
    <cellStyle name="Normalny 8 6 2 2 3" xfId="2522" xr:uid="{00000000-0005-0000-0000-0000A10A0000}"/>
    <cellStyle name="Normalny 8 6 2 3" xfId="1964" xr:uid="{00000000-0005-0000-0000-0000A20A0000}"/>
    <cellStyle name="Normalny 8 6 2 3 2" xfId="3081" xr:uid="{00000000-0005-0000-0000-0000A30A0000}"/>
    <cellStyle name="Normalny 8 6 2 4" xfId="2521" xr:uid="{00000000-0005-0000-0000-0000A40A0000}"/>
    <cellStyle name="Normalny 8 6 3" xfId="1407" xr:uid="{00000000-0005-0000-0000-0000A50A0000}"/>
    <cellStyle name="Normalny 8 6 3 2" xfId="1966" xr:uid="{00000000-0005-0000-0000-0000A60A0000}"/>
    <cellStyle name="Normalny 8 6 3 2 2" xfId="3083" xr:uid="{00000000-0005-0000-0000-0000A70A0000}"/>
    <cellStyle name="Normalny 8 6 3 3" xfId="2523" xr:uid="{00000000-0005-0000-0000-0000A80A0000}"/>
    <cellStyle name="Normalny 8 6 4" xfId="1963" xr:uid="{00000000-0005-0000-0000-0000A90A0000}"/>
    <cellStyle name="Normalny 8 6 4 2" xfId="3080" xr:uid="{00000000-0005-0000-0000-0000AA0A0000}"/>
    <cellStyle name="Normalny 8 6 5" xfId="2520" xr:uid="{00000000-0005-0000-0000-0000AB0A0000}"/>
    <cellStyle name="Normalny 8 7" xfId="1408" xr:uid="{00000000-0005-0000-0000-0000AC0A0000}"/>
    <cellStyle name="Normalny 8 7 2" xfId="1409" xr:uid="{00000000-0005-0000-0000-0000AD0A0000}"/>
    <cellStyle name="Normalny 8 7 2 2" xfId="1968" xr:uid="{00000000-0005-0000-0000-0000AE0A0000}"/>
    <cellStyle name="Normalny 8 7 2 2 2" xfId="3085" xr:uid="{00000000-0005-0000-0000-0000AF0A0000}"/>
    <cellStyle name="Normalny 8 7 2 3" xfId="2525" xr:uid="{00000000-0005-0000-0000-0000B00A0000}"/>
    <cellStyle name="Normalny 8 7 3" xfId="1967" xr:uid="{00000000-0005-0000-0000-0000B10A0000}"/>
    <cellStyle name="Normalny 8 7 3 2" xfId="3084" xr:uid="{00000000-0005-0000-0000-0000B20A0000}"/>
    <cellStyle name="Normalny 8 7 4" xfId="2524" xr:uid="{00000000-0005-0000-0000-0000B30A0000}"/>
    <cellStyle name="Normalny 8 8" xfId="1410" xr:uid="{00000000-0005-0000-0000-0000B40A0000}"/>
    <cellStyle name="Normalny 8 8 2" xfId="1969" xr:uid="{00000000-0005-0000-0000-0000B50A0000}"/>
    <cellStyle name="Normalny 8 8 2 2" xfId="3086" xr:uid="{00000000-0005-0000-0000-0000B60A0000}"/>
    <cellStyle name="Normalny 8 8 3" xfId="2526" xr:uid="{00000000-0005-0000-0000-0000B70A0000}"/>
    <cellStyle name="Normalny 8 9" xfId="1491" xr:uid="{00000000-0005-0000-0000-0000B80A0000}"/>
    <cellStyle name="Normalny 8 9 2" xfId="2612" xr:uid="{00000000-0005-0000-0000-0000B90A0000}"/>
    <cellStyle name="Normalny 9" xfId="59" xr:uid="{00000000-0005-0000-0000-0000BA0A0000}"/>
    <cellStyle name="Normalny 9 2" xfId="270" xr:uid="{00000000-0005-0000-0000-0000BB0A0000}"/>
    <cellStyle name="Normalny 9 2 2" xfId="3195" xr:uid="{00000000-0005-0000-0000-0000BC0A0000}"/>
    <cellStyle name="Normalny 9 3" xfId="294" xr:uid="{00000000-0005-0000-0000-0000BD0A0000}"/>
    <cellStyle name="Normalny 9 3 2" xfId="2613" xr:uid="{00000000-0005-0000-0000-0000BE0A0000}"/>
    <cellStyle name="Normalny 9 3 3" xfId="1492" xr:uid="{00000000-0005-0000-0000-0000BF0A0000}"/>
    <cellStyle name="Normalny 9 4" xfId="2055" xr:uid="{00000000-0005-0000-0000-0000C00A0000}"/>
    <cellStyle name="Obliczenia 2" xfId="137" xr:uid="{00000000-0005-0000-0000-0000C20A0000}"/>
    <cellStyle name="Obliczenia 2 2" xfId="510" xr:uid="{00000000-0005-0000-0000-0000C30A0000}"/>
    <cellStyle name="Obliczenia 2 3" xfId="464" xr:uid="{00000000-0005-0000-0000-0000C40A0000}"/>
    <cellStyle name="Obliczenia 2 4" xfId="392" xr:uid="{00000000-0005-0000-0000-0000C50A0000}"/>
    <cellStyle name="Obliczenia 3" xfId="215" xr:uid="{00000000-0005-0000-0000-0000C60A0000}"/>
    <cellStyle name="Obliczenia 3 2" xfId="443" xr:uid="{00000000-0005-0000-0000-0000C70A0000}"/>
    <cellStyle name="Obliczenia 3 3" xfId="404" xr:uid="{00000000-0005-0000-0000-0000C80A0000}"/>
    <cellStyle name="Obliczenia 4" xfId="328" xr:uid="{00000000-0005-0000-0000-0000C90A0000}"/>
    <cellStyle name="Output" xfId="341" builtinId="21" customBuiltin="1"/>
    <cellStyle name="Percent" xfId="332" builtinId="5"/>
    <cellStyle name="Procentowy 2" xfId="6" xr:uid="{00000000-0005-0000-0000-0000CB0A0000}"/>
    <cellStyle name="Procentowy 2 2" xfId="22" xr:uid="{00000000-0005-0000-0000-0000CC0A0000}"/>
    <cellStyle name="Procentowy 2 2 2" xfId="148" xr:uid="{00000000-0005-0000-0000-0000CD0A0000}"/>
    <cellStyle name="Procentowy 2 2 2 2" xfId="708" xr:uid="{00000000-0005-0000-0000-0000CE0A0000}"/>
    <cellStyle name="Procentowy 2 2 2 2 2" xfId="1537" xr:uid="{00000000-0005-0000-0000-0000CF0A0000}"/>
    <cellStyle name="Procentowy 2 2 3" xfId="1447" xr:uid="{00000000-0005-0000-0000-0000D00A0000}"/>
    <cellStyle name="Procentowy 2 3" xfId="197" xr:uid="{00000000-0005-0000-0000-0000D10A0000}"/>
    <cellStyle name="Procentowy 2 3 2" xfId="289" xr:uid="{00000000-0005-0000-0000-0000D20A0000}"/>
    <cellStyle name="Procentowy 2 4" xfId="204" xr:uid="{00000000-0005-0000-0000-0000D30A0000}"/>
    <cellStyle name="Procentowy 2 5" xfId="267" xr:uid="{00000000-0005-0000-0000-0000D40A0000}"/>
    <cellStyle name="Procentowy 2 6" xfId="100" xr:uid="{00000000-0005-0000-0000-0000D50A0000}"/>
    <cellStyle name="Procentowy 2 6 2" xfId="1532" xr:uid="{00000000-0005-0000-0000-0000D60A0000}"/>
    <cellStyle name="Procentowy 2 7" xfId="552" xr:uid="{00000000-0005-0000-0000-0000D70A0000}"/>
    <cellStyle name="Procentowy 2 7 2" xfId="598" xr:uid="{00000000-0005-0000-0000-0000D80A0000}"/>
    <cellStyle name="Procentowy 2 7 2 2" xfId="703" xr:uid="{00000000-0005-0000-0000-0000D90A0000}"/>
    <cellStyle name="Procentowy 2 7 2 2 2" xfId="956" xr:uid="{00000000-0005-0000-0000-0000DA0A0000}"/>
    <cellStyle name="Procentowy 2 7 2 3" xfId="1074" xr:uid="{00000000-0005-0000-0000-0000DB0A0000}"/>
    <cellStyle name="Procentowy 2 7 2 4" xfId="843" xr:uid="{00000000-0005-0000-0000-0000DC0A0000}"/>
    <cellStyle name="Procentowy 2 7 3" xfId="647" xr:uid="{00000000-0005-0000-0000-0000DD0A0000}"/>
    <cellStyle name="Procentowy 2 7 3 2" xfId="899" xr:uid="{00000000-0005-0000-0000-0000DE0A0000}"/>
    <cellStyle name="Procentowy 2 7 4" xfId="1021" xr:uid="{00000000-0005-0000-0000-0000DF0A0000}"/>
    <cellStyle name="Procentowy 2 7 5" xfId="791" xr:uid="{00000000-0005-0000-0000-0000E00A0000}"/>
    <cellStyle name="Procentowy 2 7 6" xfId="1455" xr:uid="{00000000-0005-0000-0000-0000E10A0000}"/>
    <cellStyle name="Procentowy 2 8" xfId="479" xr:uid="{00000000-0005-0000-0000-0000E20A0000}"/>
    <cellStyle name="Procentowy 2 9" xfId="715" xr:uid="{00000000-0005-0000-0000-0000E30A0000}"/>
    <cellStyle name="Procentowy 2 9 2" xfId="968" xr:uid="{00000000-0005-0000-0000-0000E40A0000}"/>
    <cellStyle name="Procentowy 3" xfId="17" xr:uid="{00000000-0005-0000-0000-0000E50A0000}"/>
    <cellStyle name="Procentowy 3 10" xfId="2020" xr:uid="{00000000-0005-0000-0000-0000E60A0000}"/>
    <cellStyle name="Procentowy 3 2" xfId="20" xr:uid="{00000000-0005-0000-0000-0000E70A0000}"/>
    <cellStyle name="Procentowy 3 2 2" xfId="35" xr:uid="{00000000-0005-0000-0000-0000E80A0000}"/>
    <cellStyle name="Procentowy 3 2 2 2" xfId="57" xr:uid="{00000000-0005-0000-0000-0000E90A0000}"/>
    <cellStyle name="Procentowy 3 2 2 2 2" xfId="96" xr:uid="{00000000-0005-0000-0000-0000EA0A0000}"/>
    <cellStyle name="Procentowy 3 2 2 2 2 2" xfId="1411" xr:uid="{00000000-0005-0000-0000-0000EB0A0000}"/>
    <cellStyle name="Procentowy 3 2 2 2 2 2 2" xfId="1970" xr:uid="{00000000-0005-0000-0000-0000EC0A0000}"/>
    <cellStyle name="Procentowy 3 2 2 2 2 2 2 2" xfId="3087" xr:uid="{00000000-0005-0000-0000-0000ED0A0000}"/>
    <cellStyle name="Procentowy 3 2 2 2 2 2 3" xfId="2527" xr:uid="{00000000-0005-0000-0000-0000EE0A0000}"/>
    <cellStyle name="Procentowy 3 2 2 2 2 3" xfId="1528" xr:uid="{00000000-0005-0000-0000-0000EF0A0000}"/>
    <cellStyle name="Procentowy 3 2 2 2 2 3 2" xfId="2650" xr:uid="{00000000-0005-0000-0000-0000F00A0000}"/>
    <cellStyle name="Procentowy 3 2 2 2 2 4" xfId="2092" xr:uid="{00000000-0005-0000-0000-0000F10A0000}"/>
    <cellStyle name="Procentowy 3 2 2 2 3" xfId="1412" xr:uid="{00000000-0005-0000-0000-0000F20A0000}"/>
    <cellStyle name="Procentowy 3 2 2 2 3 2" xfId="1971" xr:uid="{00000000-0005-0000-0000-0000F30A0000}"/>
    <cellStyle name="Procentowy 3 2 2 2 3 2 2" xfId="3088" xr:uid="{00000000-0005-0000-0000-0000F40A0000}"/>
    <cellStyle name="Procentowy 3 2 2 2 3 3" xfId="2528" xr:uid="{00000000-0005-0000-0000-0000F50A0000}"/>
    <cellStyle name="Procentowy 3 2 2 2 4" xfId="1490" xr:uid="{00000000-0005-0000-0000-0000F60A0000}"/>
    <cellStyle name="Procentowy 3 2 2 2 4 2" xfId="2611" xr:uid="{00000000-0005-0000-0000-0000F70A0000}"/>
    <cellStyle name="Procentowy 3 2 2 2 5" xfId="2053" xr:uid="{00000000-0005-0000-0000-0000F80A0000}"/>
    <cellStyle name="Procentowy 3 2 2 3" xfId="77" xr:uid="{00000000-0005-0000-0000-0000F90A0000}"/>
    <cellStyle name="Procentowy 3 2 2 3 2" xfId="1413" xr:uid="{00000000-0005-0000-0000-0000FA0A0000}"/>
    <cellStyle name="Procentowy 3 2 2 3 2 2" xfId="1972" xr:uid="{00000000-0005-0000-0000-0000FB0A0000}"/>
    <cellStyle name="Procentowy 3 2 2 3 2 2 2" xfId="3089" xr:uid="{00000000-0005-0000-0000-0000FC0A0000}"/>
    <cellStyle name="Procentowy 3 2 2 3 2 3" xfId="2529" xr:uid="{00000000-0005-0000-0000-0000FD0A0000}"/>
    <cellStyle name="Procentowy 3 2 2 3 3" xfId="1509" xr:uid="{00000000-0005-0000-0000-0000FE0A0000}"/>
    <cellStyle name="Procentowy 3 2 2 3 3 2" xfId="2631" xr:uid="{00000000-0005-0000-0000-0000FF0A0000}"/>
    <cellStyle name="Procentowy 3 2 2 3 4" xfId="2073" xr:uid="{00000000-0005-0000-0000-0000000B0000}"/>
    <cellStyle name="Procentowy 3 2 2 4" xfId="1414" xr:uid="{00000000-0005-0000-0000-0000010B0000}"/>
    <cellStyle name="Procentowy 3 2 2 4 2" xfId="1973" xr:uid="{00000000-0005-0000-0000-0000020B0000}"/>
    <cellStyle name="Procentowy 3 2 2 4 2 2" xfId="3090" xr:uid="{00000000-0005-0000-0000-0000030B0000}"/>
    <cellStyle name="Procentowy 3 2 2 4 3" xfId="2530" xr:uid="{00000000-0005-0000-0000-0000040B0000}"/>
    <cellStyle name="Procentowy 3 2 2 5" xfId="1472" xr:uid="{00000000-0005-0000-0000-0000050B0000}"/>
    <cellStyle name="Procentowy 3 2 2 5 2" xfId="2592" xr:uid="{00000000-0005-0000-0000-0000060B0000}"/>
    <cellStyle name="Procentowy 3 2 2 6" xfId="2034" xr:uid="{00000000-0005-0000-0000-0000070B0000}"/>
    <cellStyle name="Procentowy 3 2 3" xfId="29" xr:uid="{00000000-0005-0000-0000-0000080B0000}"/>
    <cellStyle name="Procentowy 3 2 3 2" xfId="51" xr:uid="{00000000-0005-0000-0000-0000090B0000}"/>
    <cellStyle name="Procentowy 3 2 3 2 2" xfId="90" xr:uid="{00000000-0005-0000-0000-00000A0B0000}"/>
    <cellStyle name="Procentowy 3 2 3 2 2 2" xfId="1415" xr:uid="{00000000-0005-0000-0000-00000B0B0000}"/>
    <cellStyle name="Procentowy 3 2 3 2 2 2 2" xfId="1974" xr:uid="{00000000-0005-0000-0000-00000C0B0000}"/>
    <cellStyle name="Procentowy 3 2 3 2 2 2 2 2" xfId="3091" xr:uid="{00000000-0005-0000-0000-00000D0B0000}"/>
    <cellStyle name="Procentowy 3 2 3 2 2 2 3" xfId="2531" xr:uid="{00000000-0005-0000-0000-00000E0B0000}"/>
    <cellStyle name="Procentowy 3 2 3 2 2 3" xfId="1522" xr:uid="{00000000-0005-0000-0000-00000F0B0000}"/>
    <cellStyle name="Procentowy 3 2 3 2 2 3 2" xfId="2644" xr:uid="{00000000-0005-0000-0000-0000100B0000}"/>
    <cellStyle name="Procentowy 3 2 3 2 2 4" xfId="2086" xr:uid="{00000000-0005-0000-0000-0000110B0000}"/>
    <cellStyle name="Procentowy 3 2 3 2 3" xfId="1416" xr:uid="{00000000-0005-0000-0000-0000120B0000}"/>
    <cellStyle name="Procentowy 3 2 3 2 3 2" xfId="1975" xr:uid="{00000000-0005-0000-0000-0000130B0000}"/>
    <cellStyle name="Procentowy 3 2 3 2 3 2 2" xfId="3092" xr:uid="{00000000-0005-0000-0000-0000140B0000}"/>
    <cellStyle name="Procentowy 3 2 3 2 3 3" xfId="2532" xr:uid="{00000000-0005-0000-0000-0000150B0000}"/>
    <cellStyle name="Procentowy 3 2 3 2 4" xfId="1485" xr:uid="{00000000-0005-0000-0000-0000160B0000}"/>
    <cellStyle name="Procentowy 3 2 3 2 4 2" xfId="2605" xr:uid="{00000000-0005-0000-0000-0000170B0000}"/>
    <cellStyle name="Procentowy 3 2 3 2 5" xfId="2047" xr:uid="{00000000-0005-0000-0000-0000180B0000}"/>
    <cellStyle name="Procentowy 3 2 3 3" xfId="71" xr:uid="{00000000-0005-0000-0000-0000190B0000}"/>
    <cellStyle name="Procentowy 3 2 3 3 2" xfId="1417" xr:uid="{00000000-0005-0000-0000-00001A0B0000}"/>
    <cellStyle name="Procentowy 3 2 3 3 2 2" xfId="1976" xr:uid="{00000000-0005-0000-0000-00001B0B0000}"/>
    <cellStyle name="Procentowy 3 2 3 3 2 2 2" xfId="3093" xr:uid="{00000000-0005-0000-0000-00001C0B0000}"/>
    <cellStyle name="Procentowy 3 2 3 3 2 3" xfId="2533" xr:uid="{00000000-0005-0000-0000-00001D0B0000}"/>
    <cellStyle name="Procentowy 3 2 3 3 3" xfId="1504" xr:uid="{00000000-0005-0000-0000-00001E0B0000}"/>
    <cellStyle name="Procentowy 3 2 3 3 3 2" xfId="2625" xr:uid="{00000000-0005-0000-0000-00001F0B0000}"/>
    <cellStyle name="Procentowy 3 2 3 3 4" xfId="2067" xr:uid="{00000000-0005-0000-0000-0000200B0000}"/>
    <cellStyle name="Procentowy 3 2 3 4" xfId="538" xr:uid="{00000000-0005-0000-0000-0000210B0000}"/>
    <cellStyle name="Procentowy 3 2 3 4 2" xfId="1977" xr:uid="{00000000-0005-0000-0000-0000220B0000}"/>
    <cellStyle name="Procentowy 3 2 3 4 2 2" xfId="3094" xr:uid="{00000000-0005-0000-0000-0000230B0000}"/>
    <cellStyle name="Procentowy 3 2 3 4 3" xfId="2534" xr:uid="{00000000-0005-0000-0000-0000240B0000}"/>
    <cellStyle name="Procentowy 3 2 3 4 4" xfId="1418" xr:uid="{00000000-0005-0000-0000-0000250B0000}"/>
    <cellStyle name="Procentowy 3 2 3 5" xfId="1468" xr:uid="{00000000-0005-0000-0000-0000260B0000}"/>
    <cellStyle name="Procentowy 3 2 3 5 2" xfId="2587" xr:uid="{00000000-0005-0000-0000-0000270B0000}"/>
    <cellStyle name="Procentowy 3 2 3 6" xfId="2029" xr:uid="{00000000-0005-0000-0000-0000280B0000}"/>
    <cellStyle name="Procentowy 3 2 4" xfId="45" xr:uid="{00000000-0005-0000-0000-0000290B0000}"/>
    <cellStyle name="Procentowy 3 2 4 2" xfId="84" xr:uid="{00000000-0005-0000-0000-00002A0B0000}"/>
    <cellStyle name="Procentowy 3 2 4 2 2" xfId="1419" xr:uid="{00000000-0005-0000-0000-00002B0B0000}"/>
    <cellStyle name="Procentowy 3 2 4 2 2 2" xfId="1420" xr:uid="{00000000-0005-0000-0000-00002C0B0000}"/>
    <cellStyle name="Procentowy 3 2 4 2 2 2 2" xfId="1979" xr:uid="{00000000-0005-0000-0000-00002D0B0000}"/>
    <cellStyle name="Procentowy 3 2 4 2 2 2 2 2" xfId="3096" xr:uid="{00000000-0005-0000-0000-00002E0B0000}"/>
    <cellStyle name="Procentowy 3 2 4 2 2 2 3" xfId="2536" xr:uid="{00000000-0005-0000-0000-00002F0B0000}"/>
    <cellStyle name="Procentowy 3 2 4 2 2 3" xfId="1978" xr:uid="{00000000-0005-0000-0000-0000300B0000}"/>
    <cellStyle name="Procentowy 3 2 4 2 2 3 2" xfId="3095" xr:uid="{00000000-0005-0000-0000-0000310B0000}"/>
    <cellStyle name="Procentowy 3 2 4 2 2 4" xfId="2535" xr:uid="{00000000-0005-0000-0000-0000320B0000}"/>
    <cellStyle name="Procentowy 3 2 4 2 3" xfId="1421" xr:uid="{00000000-0005-0000-0000-0000330B0000}"/>
    <cellStyle name="Procentowy 3 2 4 2 3 2" xfId="1980" xr:uid="{00000000-0005-0000-0000-0000340B0000}"/>
    <cellStyle name="Procentowy 3 2 4 2 3 2 2" xfId="3097" xr:uid="{00000000-0005-0000-0000-0000350B0000}"/>
    <cellStyle name="Procentowy 3 2 4 2 3 3" xfId="2537" xr:uid="{00000000-0005-0000-0000-0000360B0000}"/>
    <cellStyle name="Procentowy 3 2 4 2 4" xfId="1516" xr:uid="{00000000-0005-0000-0000-0000370B0000}"/>
    <cellStyle name="Procentowy 3 2 4 2 4 2" xfId="2638" xr:uid="{00000000-0005-0000-0000-0000380B0000}"/>
    <cellStyle name="Procentowy 3 2 4 2 5" xfId="2080" xr:uid="{00000000-0005-0000-0000-0000390B0000}"/>
    <cellStyle name="Procentowy 3 2 4 3" xfId="1422" xr:uid="{00000000-0005-0000-0000-00003A0B0000}"/>
    <cellStyle name="Procentowy 3 2 4 3 2" xfId="1423" xr:uid="{00000000-0005-0000-0000-00003B0B0000}"/>
    <cellStyle name="Procentowy 3 2 4 3 2 2" xfId="1982" xr:uid="{00000000-0005-0000-0000-00003C0B0000}"/>
    <cellStyle name="Procentowy 3 2 4 3 2 2 2" xfId="3099" xr:uid="{00000000-0005-0000-0000-00003D0B0000}"/>
    <cellStyle name="Procentowy 3 2 4 3 2 3" xfId="2539" xr:uid="{00000000-0005-0000-0000-00003E0B0000}"/>
    <cellStyle name="Procentowy 3 2 4 3 3" xfId="1981" xr:uid="{00000000-0005-0000-0000-00003F0B0000}"/>
    <cellStyle name="Procentowy 3 2 4 3 3 2" xfId="3098" xr:uid="{00000000-0005-0000-0000-0000400B0000}"/>
    <cellStyle name="Procentowy 3 2 4 3 4" xfId="2538" xr:uid="{00000000-0005-0000-0000-0000410B0000}"/>
    <cellStyle name="Procentowy 3 2 4 4" xfId="1424" xr:uid="{00000000-0005-0000-0000-0000420B0000}"/>
    <cellStyle name="Procentowy 3 2 4 4 2" xfId="1983" xr:uid="{00000000-0005-0000-0000-0000430B0000}"/>
    <cellStyle name="Procentowy 3 2 4 4 2 2" xfId="3100" xr:uid="{00000000-0005-0000-0000-0000440B0000}"/>
    <cellStyle name="Procentowy 3 2 4 4 3" xfId="2540" xr:uid="{00000000-0005-0000-0000-0000450B0000}"/>
    <cellStyle name="Procentowy 3 2 4 5" xfId="1479" xr:uid="{00000000-0005-0000-0000-0000460B0000}"/>
    <cellStyle name="Procentowy 3 2 4 5 2" xfId="2599" xr:uid="{00000000-0005-0000-0000-0000470B0000}"/>
    <cellStyle name="Procentowy 3 2 4 6" xfId="2041" xr:uid="{00000000-0005-0000-0000-0000480B0000}"/>
    <cellStyle name="Procentowy 3 2 5" xfId="65" xr:uid="{00000000-0005-0000-0000-0000490B0000}"/>
    <cellStyle name="Procentowy 3 2 5 2" xfId="1425" xr:uid="{00000000-0005-0000-0000-00004A0B0000}"/>
    <cellStyle name="Procentowy 3 2 5 2 2" xfId="1426" xr:uid="{00000000-0005-0000-0000-00004B0B0000}"/>
    <cellStyle name="Procentowy 3 2 5 2 2 2" xfId="1985" xr:uid="{00000000-0005-0000-0000-00004C0B0000}"/>
    <cellStyle name="Procentowy 3 2 5 2 2 2 2" xfId="3102" xr:uid="{00000000-0005-0000-0000-00004D0B0000}"/>
    <cellStyle name="Procentowy 3 2 5 2 2 3" xfId="2542" xr:uid="{00000000-0005-0000-0000-00004E0B0000}"/>
    <cellStyle name="Procentowy 3 2 5 2 3" xfId="1984" xr:uid="{00000000-0005-0000-0000-00004F0B0000}"/>
    <cellStyle name="Procentowy 3 2 5 2 3 2" xfId="3101" xr:uid="{00000000-0005-0000-0000-0000500B0000}"/>
    <cellStyle name="Procentowy 3 2 5 2 4" xfId="2541" xr:uid="{00000000-0005-0000-0000-0000510B0000}"/>
    <cellStyle name="Procentowy 3 2 5 3" xfId="1427" xr:uid="{00000000-0005-0000-0000-0000520B0000}"/>
    <cellStyle name="Procentowy 3 2 5 3 2" xfId="1986" xr:uid="{00000000-0005-0000-0000-0000530B0000}"/>
    <cellStyle name="Procentowy 3 2 5 3 2 2" xfId="3103" xr:uid="{00000000-0005-0000-0000-0000540B0000}"/>
    <cellStyle name="Procentowy 3 2 5 3 3" xfId="2543" xr:uid="{00000000-0005-0000-0000-0000550B0000}"/>
    <cellStyle name="Procentowy 3 2 5 4" xfId="1498" xr:uid="{00000000-0005-0000-0000-0000560B0000}"/>
    <cellStyle name="Procentowy 3 2 5 4 2" xfId="2619" xr:uid="{00000000-0005-0000-0000-0000570B0000}"/>
    <cellStyle name="Procentowy 3 2 5 5" xfId="2061" xr:uid="{00000000-0005-0000-0000-0000580B0000}"/>
    <cellStyle name="Procentowy 3 2 6" xfId="268" xr:uid="{00000000-0005-0000-0000-0000590B0000}"/>
    <cellStyle name="Procentowy 3 2 6 2" xfId="1428" xr:uid="{00000000-0005-0000-0000-00005A0B0000}"/>
    <cellStyle name="Procentowy 3 2 6 2 2" xfId="1987" xr:uid="{00000000-0005-0000-0000-00005B0B0000}"/>
    <cellStyle name="Procentowy 3 2 6 2 2 2" xfId="3104" xr:uid="{00000000-0005-0000-0000-00005C0B0000}"/>
    <cellStyle name="Procentowy 3 2 6 2 3" xfId="2544" xr:uid="{00000000-0005-0000-0000-00005D0B0000}"/>
    <cellStyle name="Procentowy 3 2 7" xfId="1429" xr:uid="{00000000-0005-0000-0000-00005E0B0000}"/>
    <cellStyle name="Procentowy 3 2 7 2" xfId="1988" xr:uid="{00000000-0005-0000-0000-00005F0B0000}"/>
    <cellStyle name="Procentowy 3 2 7 2 2" xfId="3105" xr:uid="{00000000-0005-0000-0000-0000600B0000}"/>
    <cellStyle name="Procentowy 3 2 7 3" xfId="2545" xr:uid="{00000000-0005-0000-0000-0000610B0000}"/>
    <cellStyle name="Procentowy 3 2 8" xfId="1462" xr:uid="{00000000-0005-0000-0000-0000620B0000}"/>
    <cellStyle name="Procentowy 3 2 8 2" xfId="2581" xr:uid="{00000000-0005-0000-0000-0000630B0000}"/>
    <cellStyle name="Procentowy 3 2 9" xfId="2023" xr:uid="{00000000-0005-0000-0000-0000640B0000}"/>
    <cellStyle name="Procentowy 3 3" xfId="32" xr:uid="{00000000-0005-0000-0000-0000650B0000}"/>
    <cellStyle name="Procentowy 3 3 2" xfId="54" xr:uid="{00000000-0005-0000-0000-0000660B0000}"/>
    <cellStyle name="Procentowy 3 3 2 2" xfId="93" xr:uid="{00000000-0005-0000-0000-0000670B0000}"/>
    <cellStyle name="Procentowy 3 3 2 2 2" xfId="860" xr:uid="{00000000-0005-0000-0000-0000680B0000}"/>
    <cellStyle name="Procentowy 3 3 2 2 2 2" xfId="1989" xr:uid="{00000000-0005-0000-0000-0000690B0000}"/>
    <cellStyle name="Procentowy 3 3 2 2 2 2 2" xfId="3106" xr:uid="{00000000-0005-0000-0000-00006A0B0000}"/>
    <cellStyle name="Procentowy 3 3 2 2 2 3" xfId="2546" xr:uid="{00000000-0005-0000-0000-00006B0B0000}"/>
    <cellStyle name="Procentowy 3 3 2 2 3" xfId="1525" xr:uid="{00000000-0005-0000-0000-00006C0B0000}"/>
    <cellStyle name="Procentowy 3 3 2 2 3 2" xfId="2647" xr:uid="{00000000-0005-0000-0000-00006D0B0000}"/>
    <cellStyle name="Procentowy 3 3 2 2 4" xfId="2089" xr:uid="{00000000-0005-0000-0000-00006E0B0000}"/>
    <cellStyle name="Procentowy 3 3 2 3" xfId="740" xr:uid="{00000000-0005-0000-0000-00006F0B0000}"/>
    <cellStyle name="Procentowy 3 3 2 3 2" xfId="1990" xr:uid="{00000000-0005-0000-0000-0000700B0000}"/>
    <cellStyle name="Procentowy 3 3 2 3 2 2" xfId="3107" xr:uid="{00000000-0005-0000-0000-0000710B0000}"/>
    <cellStyle name="Procentowy 3 3 2 3 3" xfId="2547" xr:uid="{00000000-0005-0000-0000-0000720B0000}"/>
    <cellStyle name="Procentowy 3 3 2 4" xfId="1487" xr:uid="{00000000-0005-0000-0000-0000730B0000}"/>
    <cellStyle name="Procentowy 3 3 2 4 2" xfId="2608" xr:uid="{00000000-0005-0000-0000-0000740B0000}"/>
    <cellStyle name="Procentowy 3 3 2 5" xfId="2050" xr:uid="{00000000-0005-0000-0000-0000750B0000}"/>
    <cellStyle name="Procentowy 3 3 3" xfId="74" xr:uid="{00000000-0005-0000-0000-0000760B0000}"/>
    <cellStyle name="Procentowy 3 3 3 2" xfId="507" xr:uid="{00000000-0005-0000-0000-0000770B0000}"/>
    <cellStyle name="Procentowy 3 3 3 2 2" xfId="1991" xr:uid="{00000000-0005-0000-0000-0000780B0000}"/>
    <cellStyle name="Procentowy 3 3 3 2 2 2" xfId="3108" xr:uid="{00000000-0005-0000-0000-0000790B0000}"/>
    <cellStyle name="Procentowy 3 3 3 2 3" xfId="2548" xr:uid="{00000000-0005-0000-0000-00007A0B0000}"/>
    <cellStyle name="Procentowy 3 3 3 2 4" xfId="1430" xr:uid="{00000000-0005-0000-0000-00007B0B0000}"/>
    <cellStyle name="Procentowy 3 3 3 3" xfId="1506" xr:uid="{00000000-0005-0000-0000-00007C0B0000}"/>
    <cellStyle name="Procentowy 3 3 3 3 2" xfId="2628" xr:uid="{00000000-0005-0000-0000-00007D0B0000}"/>
    <cellStyle name="Procentowy 3 3 3 4" xfId="2070" xr:uid="{00000000-0005-0000-0000-00007E0B0000}"/>
    <cellStyle name="Procentowy 3 3 4" xfId="599" xr:uid="{00000000-0005-0000-0000-00007F0B0000}"/>
    <cellStyle name="Procentowy 3 3 4 2" xfId="844" xr:uid="{00000000-0005-0000-0000-0000800B0000}"/>
    <cellStyle name="Procentowy 3 3 4 2 2" xfId="3109" xr:uid="{00000000-0005-0000-0000-0000810B0000}"/>
    <cellStyle name="Procentowy 3 3 4 3" xfId="2549" xr:uid="{00000000-0005-0000-0000-0000820B0000}"/>
    <cellStyle name="Procentowy 3 3 5" xfId="736" xr:uid="{00000000-0005-0000-0000-0000830B0000}"/>
    <cellStyle name="Procentowy 3 3 5 2" xfId="2589" xr:uid="{00000000-0005-0000-0000-0000840B0000}"/>
    <cellStyle name="Procentowy 3 3 6" xfId="2031" xr:uid="{00000000-0005-0000-0000-0000850B0000}"/>
    <cellStyle name="Procentowy 3 4" xfId="26" xr:uid="{00000000-0005-0000-0000-0000860B0000}"/>
    <cellStyle name="Procentowy 3 4 2" xfId="48" xr:uid="{00000000-0005-0000-0000-0000870B0000}"/>
    <cellStyle name="Procentowy 3 4 2 2" xfId="87" xr:uid="{00000000-0005-0000-0000-0000880B0000}"/>
    <cellStyle name="Procentowy 3 4 2 2 2" xfId="1431" xr:uid="{00000000-0005-0000-0000-0000890B0000}"/>
    <cellStyle name="Procentowy 3 4 2 2 2 2" xfId="1992" xr:uid="{00000000-0005-0000-0000-00008A0B0000}"/>
    <cellStyle name="Procentowy 3 4 2 2 2 2 2" xfId="3110" xr:uid="{00000000-0005-0000-0000-00008B0B0000}"/>
    <cellStyle name="Procentowy 3 4 2 2 2 3" xfId="2550" xr:uid="{00000000-0005-0000-0000-00008C0B0000}"/>
    <cellStyle name="Procentowy 3 4 2 2 3" xfId="1519" xr:uid="{00000000-0005-0000-0000-00008D0B0000}"/>
    <cellStyle name="Procentowy 3 4 2 2 3 2" xfId="2641" xr:uid="{00000000-0005-0000-0000-00008E0B0000}"/>
    <cellStyle name="Procentowy 3 4 2 2 4" xfId="2083" xr:uid="{00000000-0005-0000-0000-00008F0B0000}"/>
    <cellStyle name="Procentowy 3 4 2 3" xfId="1432" xr:uid="{00000000-0005-0000-0000-0000900B0000}"/>
    <cellStyle name="Procentowy 3 4 2 3 2" xfId="1993" xr:uid="{00000000-0005-0000-0000-0000910B0000}"/>
    <cellStyle name="Procentowy 3 4 2 3 2 2" xfId="3111" xr:uid="{00000000-0005-0000-0000-0000920B0000}"/>
    <cellStyle name="Procentowy 3 4 2 3 3" xfId="2551" xr:uid="{00000000-0005-0000-0000-0000930B0000}"/>
    <cellStyle name="Procentowy 3 4 2 4" xfId="1482" xr:uid="{00000000-0005-0000-0000-0000940B0000}"/>
    <cellStyle name="Procentowy 3 4 2 4 2" xfId="2602" xr:uid="{00000000-0005-0000-0000-0000950B0000}"/>
    <cellStyle name="Procentowy 3 4 2 5" xfId="2044" xr:uid="{00000000-0005-0000-0000-0000960B0000}"/>
    <cellStyle name="Procentowy 3 4 3" xfId="68" xr:uid="{00000000-0005-0000-0000-0000970B0000}"/>
    <cellStyle name="Procentowy 3 4 3 2" xfId="1433" xr:uid="{00000000-0005-0000-0000-0000980B0000}"/>
    <cellStyle name="Procentowy 3 4 3 2 2" xfId="1994" xr:uid="{00000000-0005-0000-0000-0000990B0000}"/>
    <cellStyle name="Procentowy 3 4 3 2 2 2" xfId="3112" xr:uid="{00000000-0005-0000-0000-00009A0B0000}"/>
    <cellStyle name="Procentowy 3 4 3 2 3" xfId="2552" xr:uid="{00000000-0005-0000-0000-00009B0B0000}"/>
    <cellStyle name="Procentowy 3 4 3 3" xfId="1501" xr:uid="{00000000-0005-0000-0000-00009C0B0000}"/>
    <cellStyle name="Procentowy 3 4 3 3 2" xfId="2622" xr:uid="{00000000-0005-0000-0000-00009D0B0000}"/>
    <cellStyle name="Procentowy 3 4 3 4" xfId="2064" xr:uid="{00000000-0005-0000-0000-00009E0B0000}"/>
    <cellStyle name="Procentowy 3 4 4" xfId="1434" xr:uid="{00000000-0005-0000-0000-00009F0B0000}"/>
    <cellStyle name="Procentowy 3 4 4 2" xfId="1995" xr:uid="{00000000-0005-0000-0000-0000A00B0000}"/>
    <cellStyle name="Procentowy 3 4 4 2 2" xfId="3113" xr:uid="{00000000-0005-0000-0000-0000A10B0000}"/>
    <cellStyle name="Procentowy 3 4 4 3" xfId="2553" xr:uid="{00000000-0005-0000-0000-0000A20B0000}"/>
    <cellStyle name="Procentowy 3 4 5" xfId="1465" xr:uid="{00000000-0005-0000-0000-0000A30B0000}"/>
    <cellStyle name="Procentowy 3 4 5 2" xfId="2584" xr:uid="{00000000-0005-0000-0000-0000A40B0000}"/>
    <cellStyle name="Procentowy 3 4 6" xfId="2026" xr:uid="{00000000-0005-0000-0000-0000A50B0000}"/>
    <cellStyle name="Procentowy 3 5" xfId="42" xr:uid="{00000000-0005-0000-0000-0000A60B0000}"/>
    <cellStyle name="Procentowy 3 5 2" xfId="81" xr:uid="{00000000-0005-0000-0000-0000A70B0000}"/>
    <cellStyle name="Procentowy 3 5 2 2" xfId="1435" xr:uid="{00000000-0005-0000-0000-0000A80B0000}"/>
    <cellStyle name="Procentowy 3 5 2 2 2" xfId="1436" xr:uid="{00000000-0005-0000-0000-0000A90B0000}"/>
    <cellStyle name="Procentowy 3 5 2 2 2 2" xfId="1997" xr:uid="{00000000-0005-0000-0000-0000AA0B0000}"/>
    <cellStyle name="Procentowy 3 5 2 2 2 2 2" xfId="3115" xr:uid="{00000000-0005-0000-0000-0000AB0B0000}"/>
    <cellStyle name="Procentowy 3 5 2 2 2 3" xfId="2555" xr:uid="{00000000-0005-0000-0000-0000AC0B0000}"/>
    <cellStyle name="Procentowy 3 5 2 2 3" xfId="1996" xr:uid="{00000000-0005-0000-0000-0000AD0B0000}"/>
    <cellStyle name="Procentowy 3 5 2 2 3 2" xfId="3114" xr:uid="{00000000-0005-0000-0000-0000AE0B0000}"/>
    <cellStyle name="Procentowy 3 5 2 2 4" xfId="2554" xr:uid="{00000000-0005-0000-0000-0000AF0B0000}"/>
    <cellStyle name="Procentowy 3 5 2 3" xfId="1437" xr:uid="{00000000-0005-0000-0000-0000B00B0000}"/>
    <cellStyle name="Procentowy 3 5 2 3 2" xfId="1998" xr:uid="{00000000-0005-0000-0000-0000B10B0000}"/>
    <cellStyle name="Procentowy 3 5 2 3 2 2" xfId="3116" xr:uid="{00000000-0005-0000-0000-0000B20B0000}"/>
    <cellStyle name="Procentowy 3 5 2 3 3" xfId="2556" xr:uid="{00000000-0005-0000-0000-0000B30B0000}"/>
    <cellStyle name="Procentowy 3 5 2 4" xfId="1513" xr:uid="{00000000-0005-0000-0000-0000B40B0000}"/>
    <cellStyle name="Procentowy 3 5 2 4 2" xfId="2635" xr:uid="{00000000-0005-0000-0000-0000B50B0000}"/>
    <cellStyle name="Procentowy 3 5 2 5" xfId="2077" xr:uid="{00000000-0005-0000-0000-0000B60B0000}"/>
    <cellStyle name="Procentowy 3 5 3" xfId="480" xr:uid="{00000000-0005-0000-0000-0000B70B0000}"/>
    <cellStyle name="Procentowy 3 5 3 2" xfId="1439" xr:uid="{00000000-0005-0000-0000-0000B80B0000}"/>
    <cellStyle name="Procentowy 3 5 3 2 2" xfId="2000" xr:uid="{00000000-0005-0000-0000-0000B90B0000}"/>
    <cellStyle name="Procentowy 3 5 3 2 2 2" xfId="3118" xr:uid="{00000000-0005-0000-0000-0000BA0B0000}"/>
    <cellStyle name="Procentowy 3 5 3 2 3" xfId="2558" xr:uid="{00000000-0005-0000-0000-0000BB0B0000}"/>
    <cellStyle name="Procentowy 3 5 3 3" xfId="1999" xr:uid="{00000000-0005-0000-0000-0000BC0B0000}"/>
    <cellStyle name="Procentowy 3 5 3 3 2" xfId="3117" xr:uid="{00000000-0005-0000-0000-0000BD0B0000}"/>
    <cellStyle name="Procentowy 3 5 3 4" xfId="2557" xr:uid="{00000000-0005-0000-0000-0000BE0B0000}"/>
    <cellStyle name="Procentowy 3 5 3 5" xfId="1438" xr:uid="{00000000-0005-0000-0000-0000BF0B0000}"/>
    <cellStyle name="Procentowy 3 5 4" xfId="1440" xr:uid="{00000000-0005-0000-0000-0000C00B0000}"/>
    <cellStyle name="Procentowy 3 5 4 2" xfId="2001" xr:uid="{00000000-0005-0000-0000-0000C10B0000}"/>
    <cellStyle name="Procentowy 3 5 4 2 2" xfId="3119" xr:uid="{00000000-0005-0000-0000-0000C20B0000}"/>
    <cellStyle name="Procentowy 3 5 4 3" xfId="2559" xr:uid="{00000000-0005-0000-0000-0000C30B0000}"/>
    <cellStyle name="Procentowy 3 5 5" xfId="1476" xr:uid="{00000000-0005-0000-0000-0000C40B0000}"/>
    <cellStyle name="Procentowy 3 5 5 2" xfId="2596" xr:uid="{00000000-0005-0000-0000-0000C50B0000}"/>
    <cellStyle name="Procentowy 3 5 6" xfId="2038" xr:uid="{00000000-0005-0000-0000-0000C60B0000}"/>
    <cellStyle name="Procentowy 3 6" xfId="62" xr:uid="{00000000-0005-0000-0000-0000C70B0000}"/>
    <cellStyle name="Procentowy 3 6 2" xfId="861" xr:uid="{00000000-0005-0000-0000-0000C80B0000}"/>
    <cellStyle name="Procentowy 3 6 2 2" xfId="1441" xr:uid="{00000000-0005-0000-0000-0000C90B0000}"/>
    <cellStyle name="Procentowy 3 6 2 2 2" xfId="2003" xr:uid="{00000000-0005-0000-0000-0000CA0B0000}"/>
    <cellStyle name="Procentowy 3 6 2 2 2 2" xfId="3121" xr:uid="{00000000-0005-0000-0000-0000CB0B0000}"/>
    <cellStyle name="Procentowy 3 6 2 2 3" xfId="2561" xr:uid="{00000000-0005-0000-0000-0000CC0B0000}"/>
    <cellStyle name="Procentowy 3 6 2 3" xfId="2002" xr:uid="{00000000-0005-0000-0000-0000CD0B0000}"/>
    <cellStyle name="Procentowy 3 6 2 3 2" xfId="3120" xr:uid="{00000000-0005-0000-0000-0000CE0B0000}"/>
    <cellStyle name="Procentowy 3 6 2 4" xfId="2560" xr:uid="{00000000-0005-0000-0000-0000CF0B0000}"/>
    <cellStyle name="Procentowy 3 6 3" xfId="1442" xr:uid="{00000000-0005-0000-0000-0000D00B0000}"/>
    <cellStyle name="Procentowy 3 6 3 2" xfId="2004" xr:uid="{00000000-0005-0000-0000-0000D10B0000}"/>
    <cellStyle name="Procentowy 3 6 3 2 2" xfId="3122" xr:uid="{00000000-0005-0000-0000-0000D20B0000}"/>
    <cellStyle name="Procentowy 3 6 3 3" xfId="2562" xr:uid="{00000000-0005-0000-0000-0000D30B0000}"/>
    <cellStyle name="Procentowy 3 6 4" xfId="1495" xr:uid="{00000000-0005-0000-0000-0000D40B0000}"/>
    <cellStyle name="Procentowy 3 6 4 2" xfId="2616" xr:uid="{00000000-0005-0000-0000-0000D50B0000}"/>
    <cellStyle name="Procentowy 3 6 5" xfId="2058" xr:uid="{00000000-0005-0000-0000-0000D60B0000}"/>
    <cellStyle name="Procentowy 3 7" xfId="145" xr:uid="{00000000-0005-0000-0000-0000D70B0000}"/>
    <cellStyle name="Procentowy 3 7 2" xfId="964" xr:uid="{00000000-0005-0000-0000-0000D80B0000}"/>
    <cellStyle name="Procentowy 3 7 2 2" xfId="2005" xr:uid="{00000000-0005-0000-0000-0000D90B0000}"/>
    <cellStyle name="Procentowy 3 7 2 2 2" xfId="3123" xr:uid="{00000000-0005-0000-0000-0000DA0B0000}"/>
    <cellStyle name="Procentowy 3 7 2 3" xfId="2563" xr:uid="{00000000-0005-0000-0000-0000DB0B0000}"/>
    <cellStyle name="Procentowy 3 7 3" xfId="711" xr:uid="{00000000-0005-0000-0000-0000DC0B0000}"/>
    <cellStyle name="Procentowy 3 7 3 2" xfId="1535" xr:uid="{00000000-0005-0000-0000-0000DD0B0000}"/>
    <cellStyle name="Procentowy 3 8" xfId="732" xr:uid="{00000000-0005-0000-0000-0000DE0B0000}"/>
    <cellStyle name="Procentowy 3 8 2" xfId="2006" xr:uid="{00000000-0005-0000-0000-0000DF0B0000}"/>
    <cellStyle name="Procentowy 3 8 2 2" xfId="3124" xr:uid="{00000000-0005-0000-0000-0000E00B0000}"/>
    <cellStyle name="Procentowy 3 8 3" xfId="2564" xr:uid="{00000000-0005-0000-0000-0000E10B0000}"/>
    <cellStyle name="Procentowy 3 9" xfId="1460" xr:uid="{00000000-0005-0000-0000-0000E20B0000}"/>
    <cellStyle name="Procentowy 3 9 2" xfId="2578" xr:uid="{00000000-0005-0000-0000-0000E30B0000}"/>
    <cellStyle name="Procentowy 4" xfId="38" xr:uid="{00000000-0005-0000-0000-0000E40B0000}"/>
    <cellStyle name="Procentowy 5" xfId="14" xr:uid="{00000000-0005-0000-0000-0000E50B0000}"/>
    <cellStyle name="Procentowy 5 2" xfId="304" xr:uid="{00000000-0005-0000-0000-0000E60B0000}"/>
    <cellStyle name="Procentowy 5 2 2" xfId="654" xr:uid="{00000000-0005-0000-0000-0000E70B0000}"/>
    <cellStyle name="Procentowy 5 2 2 2" xfId="906" xr:uid="{00000000-0005-0000-0000-0000E80B0000}"/>
    <cellStyle name="Procentowy 5 2 3" xfId="1025" xr:uid="{00000000-0005-0000-0000-0000E90B0000}"/>
    <cellStyle name="Procentowy 5 2 4" xfId="793" xr:uid="{00000000-0005-0000-0000-0000EA0B0000}"/>
    <cellStyle name="Procentowy 5 2 5" xfId="555" xr:uid="{00000000-0005-0000-0000-0000EB0B0000}"/>
    <cellStyle name="Procentowy 5 3" xfId="297" xr:uid="{00000000-0005-0000-0000-0000EC0B0000}"/>
    <cellStyle name="Procentowy 5 3 2" xfId="847" xr:uid="{00000000-0005-0000-0000-0000ED0B0000}"/>
    <cellStyle name="Procentowy 5 3 2 2" xfId="1443" xr:uid="{00000000-0005-0000-0000-0000EE0B0000}"/>
    <cellStyle name="Procentowy 5 3 2 2 2" xfId="2010" xr:uid="{00000000-0005-0000-0000-0000EF0B0000}"/>
    <cellStyle name="Procentowy 5 3 2 2 2 2" xfId="3128" xr:uid="{00000000-0005-0000-0000-0000F00B0000}"/>
    <cellStyle name="Procentowy 5 3 2 2 3" xfId="2568" xr:uid="{00000000-0005-0000-0000-0000F10B0000}"/>
    <cellStyle name="Procentowy 5 3 2 3" xfId="2009" xr:uid="{00000000-0005-0000-0000-0000F20B0000}"/>
    <cellStyle name="Procentowy 5 3 2 3 2" xfId="3127" xr:uid="{00000000-0005-0000-0000-0000F30B0000}"/>
    <cellStyle name="Procentowy 5 3 2 4" xfId="2567" xr:uid="{00000000-0005-0000-0000-0000F40B0000}"/>
    <cellStyle name="Procentowy 5 3 3" xfId="1444" xr:uid="{00000000-0005-0000-0000-0000F50B0000}"/>
    <cellStyle name="Procentowy 5 3 3 2" xfId="2011" xr:uid="{00000000-0005-0000-0000-0000F60B0000}"/>
    <cellStyle name="Procentowy 5 3 3 2 2" xfId="3129" xr:uid="{00000000-0005-0000-0000-0000F70B0000}"/>
    <cellStyle name="Procentowy 5 3 3 3" xfId="2569" xr:uid="{00000000-0005-0000-0000-0000F80B0000}"/>
    <cellStyle name="Procentowy 5 3 4" xfId="2008" xr:uid="{00000000-0005-0000-0000-0000F90B0000}"/>
    <cellStyle name="Procentowy 5 3 4 2" xfId="3126" xr:uid="{00000000-0005-0000-0000-0000FA0B0000}"/>
    <cellStyle name="Procentowy 5 3 5" xfId="2566" xr:uid="{00000000-0005-0000-0000-0000FB0B0000}"/>
    <cellStyle name="Procentowy 5 4" xfId="971" xr:uid="{00000000-0005-0000-0000-0000FC0B0000}"/>
    <cellStyle name="Procentowy 5 4 2" xfId="1445" xr:uid="{00000000-0005-0000-0000-0000FD0B0000}"/>
    <cellStyle name="Procentowy 5 4 2 2" xfId="2013" xr:uid="{00000000-0005-0000-0000-0000FE0B0000}"/>
    <cellStyle name="Procentowy 5 4 2 2 2" xfId="3131" xr:uid="{00000000-0005-0000-0000-0000FF0B0000}"/>
    <cellStyle name="Procentowy 5 4 2 3" xfId="2571" xr:uid="{00000000-0005-0000-0000-0000000C0000}"/>
    <cellStyle name="Procentowy 5 4 3" xfId="2012" xr:uid="{00000000-0005-0000-0000-0000010C0000}"/>
    <cellStyle name="Procentowy 5 4 3 2" xfId="3130" xr:uid="{00000000-0005-0000-0000-0000020C0000}"/>
    <cellStyle name="Procentowy 5 4 4" xfId="2570" xr:uid="{00000000-0005-0000-0000-0000030C0000}"/>
    <cellStyle name="Procentowy 5 5" xfId="742" xr:uid="{00000000-0005-0000-0000-0000040C0000}"/>
    <cellStyle name="Procentowy 5 5 2" xfId="2014" xr:uid="{00000000-0005-0000-0000-0000050C0000}"/>
    <cellStyle name="Procentowy 5 5 2 2" xfId="3132" xr:uid="{00000000-0005-0000-0000-0000060C0000}"/>
    <cellStyle name="Procentowy 5 5 3" xfId="2572" xr:uid="{00000000-0005-0000-0000-0000070C0000}"/>
    <cellStyle name="Procentowy 5 6" xfId="2007" xr:uid="{00000000-0005-0000-0000-0000080C0000}"/>
    <cellStyle name="Procentowy 5 6 2" xfId="3125" xr:uid="{00000000-0005-0000-0000-0000090C0000}"/>
    <cellStyle name="Procentowy 5 7" xfId="2565" xr:uid="{00000000-0005-0000-0000-00000A0C0000}"/>
    <cellStyle name="Procentowy 6" xfId="713" xr:uid="{00000000-0005-0000-0000-00000B0C0000}"/>
    <cellStyle name="Procentowy 6 2" xfId="966" xr:uid="{00000000-0005-0000-0000-00000C0C0000}"/>
    <cellStyle name="Procentowy 6 2 2" xfId="2016" xr:uid="{00000000-0005-0000-0000-00000D0C0000}"/>
    <cellStyle name="Procentowy 6 2 2 2" xfId="3134" xr:uid="{00000000-0005-0000-0000-00000E0C0000}"/>
    <cellStyle name="Procentowy 6 2 3" xfId="2574" xr:uid="{00000000-0005-0000-0000-00000F0C0000}"/>
    <cellStyle name="Procentowy 6 3" xfId="2015" xr:uid="{00000000-0005-0000-0000-0000100C0000}"/>
    <cellStyle name="Procentowy 6 3 2" xfId="3133" xr:uid="{00000000-0005-0000-0000-0000110C0000}"/>
    <cellStyle name="Procentowy 6 4" xfId="2573" xr:uid="{00000000-0005-0000-0000-0000120C0000}"/>
    <cellStyle name="Procentowy 7" xfId="730" xr:uid="{00000000-0005-0000-0000-0000130C0000}"/>
    <cellStyle name="Procentowy 7 2" xfId="1446" xr:uid="{00000000-0005-0000-0000-0000140C0000}"/>
    <cellStyle name="Procentowy 8" xfId="3211" xr:uid="{B0B5B8AE-F954-4558-BBA7-016E4235A1E1}"/>
    <cellStyle name="Result" xfId="198" xr:uid="{00000000-0005-0000-0000-0000150C0000}"/>
    <cellStyle name="Result 2" xfId="532" xr:uid="{00000000-0005-0000-0000-0000160C0000}"/>
    <cellStyle name="Result 3" xfId="377" xr:uid="{00000000-0005-0000-0000-0000170C0000}"/>
    <cellStyle name="Result2" xfId="199" xr:uid="{00000000-0005-0000-0000-0000180C0000}"/>
    <cellStyle name="Result2 2" xfId="533" xr:uid="{00000000-0005-0000-0000-0000190C0000}"/>
    <cellStyle name="Result2 3" xfId="378" xr:uid="{00000000-0005-0000-0000-00001A0C0000}"/>
    <cellStyle name="Styl 1" xfId="7" xr:uid="{00000000-0005-0000-0000-00001B0C0000}"/>
    <cellStyle name="Styl 1 2" xfId="8" xr:uid="{00000000-0005-0000-0000-00001C0C0000}"/>
    <cellStyle name="Styl 2" xfId="9" xr:uid="{00000000-0005-0000-0000-00001D0C0000}"/>
    <cellStyle name="Styl 3" xfId="10" xr:uid="{00000000-0005-0000-0000-00001E0C0000}"/>
    <cellStyle name="Styl 3 2" xfId="1456" xr:uid="{00000000-0005-0000-0000-00001F0C0000}"/>
    <cellStyle name="Styl 4" xfId="11" xr:uid="{00000000-0005-0000-0000-0000200C0000}"/>
    <cellStyle name="Styl 4 2" xfId="1457" xr:uid="{00000000-0005-0000-0000-0000210C0000}"/>
    <cellStyle name="Styl 5" xfId="12" xr:uid="{00000000-0005-0000-0000-0000220C0000}"/>
    <cellStyle name="Styl 6" xfId="2657" xr:uid="{00000000-0005-0000-0000-0000230C0000}"/>
    <cellStyle name="Styl 7" xfId="1542" xr:uid="{00000000-0005-0000-0000-0000240C0000}"/>
    <cellStyle name="Styl 8" xfId="1092" xr:uid="{00000000-0005-0000-0000-0000250C0000}"/>
    <cellStyle name="Styl 9" xfId="1091" xr:uid="{00000000-0005-0000-0000-0000260C0000}"/>
    <cellStyle name="Style 1" xfId="379" xr:uid="{00000000-0005-0000-0000-0000270C0000}"/>
    <cellStyle name="Suma 2" xfId="138" xr:uid="{00000000-0005-0000-0000-0000290C0000}"/>
    <cellStyle name="Suma 2 2" xfId="508" xr:uid="{00000000-0005-0000-0000-00002A0C0000}"/>
    <cellStyle name="Suma 2 3" xfId="470" xr:uid="{00000000-0005-0000-0000-00002B0C0000}"/>
    <cellStyle name="Suma 3" xfId="220" xr:uid="{00000000-0005-0000-0000-00002C0C0000}"/>
    <cellStyle name="Suma 3 2" xfId="448" xr:uid="{00000000-0005-0000-0000-00002D0C0000}"/>
    <cellStyle name="Suma 3 3" xfId="410" xr:uid="{00000000-0005-0000-0000-00002E0C0000}"/>
    <cellStyle name="Tekst objaśnienia 2" xfId="139" xr:uid="{00000000-0005-0000-0000-0000300C0000}"/>
    <cellStyle name="Tekst objaśnienia 2 2" xfId="506" xr:uid="{00000000-0005-0000-0000-0000310C0000}"/>
    <cellStyle name="Tekst objaśnienia 2 3" xfId="469" xr:uid="{00000000-0005-0000-0000-0000320C0000}"/>
    <cellStyle name="Tekst objaśnienia 2 4" xfId="3196" xr:uid="{00000000-0005-0000-0000-0000330C0000}"/>
    <cellStyle name="Tekst objaśnienia 3" xfId="219" xr:uid="{00000000-0005-0000-0000-0000340C0000}"/>
    <cellStyle name="Tekst objaśnienia 3 2" xfId="447" xr:uid="{00000000-0005-0000-0000-0000350C0000}"/>
    <cellStyle name="Tekst objaśnienia 3 3" xfId="409" xr:uid="{00000000-0005-0000-0000-0000360C0000}"/>
    <cellStyle name="Tekst ostrzeżenia 2" xfId="140" xr:uid="{00000000-0005-0000-0000-0000380C0000}"/>
    <cellStyle name="Tekst ostrzeżenia 2 2" xfId="519" xr:uid="{00000000-0005-0000-0000-0000390C0000}"/>
    <cellStyle name="Tekst ostrzeżenia 2 3" xfId="467" xr:uid="{00000000-0005-0000-0000-00003A0C0000}"/>
    <cellStyle name="Tekst ostrzeżenia 3" xfId="218" xr:uid="{00000000-0005-0000-0000-00003B0C0000}"/>
    <cellStyle name="Tekst ostrzeżenia 3 2" xfId="446" xr:uid="{00000000-0005-0000-0000-00003C0C0000}"/>
    <cellStyle name="Tekst ostrzeżenia 3 3" xfId="407" xr:uid="{00000000-0005-0000-0000-00003D0C0000}"/>
    <cellStyle name="Title" xfId="1" builtinId="15" customBuiltin="1"/>
    <cellStyle name="Total" xfId="347" builtinId="25" customBuiltin="1"/>
    <cellStyle name="Tytuł 2" xfId="141" xr:uid="{00000000-0005-0000-0000-00003F0C0000}"/>
    <cellStyle name="Tytuł 2 2" xfId="517" xr:uid="{00000000-0005-0000-0000-0000400C0000}"/>
    <cellStyle name="Tytuł 2 3" xfId="458" xr:uid="{00000000-0005-0000-0000-0000410C0000}"/>
    <cellStyle name="Tytuł 3" xfId="395" xr:uid="{00000000-0005-0000-0000-0000420C0000}"/>
    <cellStyle name="Tytuł 3 2" xfId="436" xr:uid="{00000000-0005-0000-0000-0000430C0000}"/>
    <cellStyle name="Tytuł 4" xfId="969" xr:uid="{00000000-0005-0000-0000-0000440C0000}"/>
    <cellStyle name="Tytuł 4 2" xfId="1023" xr:uid="{00000000-0005-0000-0000-0000450C0000}"/>
    <cellStyle name="Tytuł 5" xfId="1022" xr:uid="{00000000-0005-0000-0000-0000460C0000}"/>
    <cellStyle name="Uwaga 2" xfId="142" xr:uid="{00000000-0005-0000-0000-0000470C0000}"/>
    <cellStyle name="Uwaga 2 2" xfId="514" xr:uid="{00000000-0005-0000-0000-0000480C0000}"/>
    <cellStyle name="Uwaga 2 2 2" xfId="3198" xr:uid="{00000000-0005-0000-0000-0000490C0000}"/>
    <cellStyle name="Uwaga 2 3" xfId="468" xr:uid="{00000000-0005-0000-0000-00004A0C0000}"/>
    <cellStyle name="Uwaga 2 4" xfId="393" xr:uid="{00000000-0005-0000-0000-00004B0C0000}"/>
    <cellStyle name="Uwaga 2 5" xfId="3197" xr:uid="{00000000-0005-0000-0000-00004C0C0000}"/>
    <cellStyle name="Uwaga 3" xfId="246" xr:uid="{00000000-0005-0000-0000-00004D0C0000}"/>
    <cellStyle name="Uwaga 3 2" xfId="262" xr:uid="{00000000-0005-0000-0000-00004E0C0000}"/>
    <cellStyle name="Uwaga 3 2 2" xfId="582" xr:uid="{00000000-0005-0000-0000-00004F0C0000}"/>
    <cellStyle name="Uwaga 3 2 2 2" xfId="684" xr:uid="{00000000-0005-0000-0000-0000500C0000}"/>
    <cellStyle name="Uwaga 3 2 2 2 2" xfId="936" xr:uid="{00000000-0005-0000-0000-0000510C0000}"/>
    <cellStyle name="Uwaga 3 2 2 3" xfId="1055" xr:uid="{00000000-0005-0000-0000-0000520C0000}"/>
    <cellStyle name="Uwaga 3 2 2 4" xfId="823" xr:uid="{00000000-0005-0000-0000-0000530C0000}"/>
    <cellStyle name="Uwaga 3 2 3" xfId="630" xr:uid="{00000000-0005-0000-0000-0000540C0000}"/>
    <cellStyle name="Uwaga 3 2 3 2" xfId="879" xr:uid="{00000000-0005-0000-0000-0000550C0000}"/>
    <cellStyle name="Uwaga 3 2 4" xfId="1001" xr:uid="{00000000-0005-0000-0000-0000560C0000}"/>
    <cellStyle name="Uwaga 3 2 5" xfId="772" xr:uid="{00000000-0005-0000-0000-0000570C0000}"/>
    <cellStyle name="Uwaga 3 3" xfId="536" xr:uid="{00000000-0005-0000-0000-0000580C0000}"/>
    <cellStyle name="Uwaga 3 3 2" xfId="648" xr:uid="{00000000-0005-0000-0000-0000590C0000}"/>
    <cellStyle name="Uwaga 3 3 2 2" xfId="901" xr:uid="{00000000-0005-0000-0000-00005A0C0000}"/>
    <cellStyle name="Uwaga 3 3 3" xfId="1039" xr:uid="{00000000-0005-0000-0000-00005B0C0000}"/>
    <cellStyle name="Uwaga 3 3 4" xfId="756" xr:uid="{00000000-0005-0000-0000-00005C0C0000}"/>
    <cellStyle name="Uwaga 3 4" xfId="569" xr:uid="{00000000-0005-0000-0000-00005D0C0000}"/>
    <cellStyle name="Uwaga 3 4 2" xfId="668" xr:uid="{00000000-0005-0000-0000-00005E0C0000}"/>
    <cellStyle name="Uwaga 3 4 2 2" xfId="920" xr:uid="{00000000-0005-0000-0000-00005F0C0000}"/>
    <cellStyle name="Uwaga 3 4 3" xfId="807" xr:uid="{00000000-0005-0000-0000-0000600C0000}"/>
    <cellStyle name="Uwaga 3 5" xfId="615" xr:uid="{00000000-0005-0000-0000-0000610C0000}"/>
    <cellStyle name="Uwaga 3 5 2" xfId="863" xr:uid="{00000000-0005-0000-0000-0000620C0000}"/>
    <cellStyle name="Uwaga 3 6" xfId="985" xr:uid="{00000000-0005-0000-0000-0000630C0000}"/>
    <cellStyle name="Uwaga 3 7" xfId="408" xr:uid="{00000000-0005-0000-0000-0000640C0000}"/>
    <cellStyle name="Uwaga 4" xfId="329" xr:uid="{00000000-0005-0000-0000-0000650C0000}"/>
    <cellStyle name="Uwaga 4 2" xfId="584" xr:uid="{00000000-0005-0000-0000-0000660C0000}"/>
    <cellStyle name="Uwaga 4 2 2" xfId="689" xr:uid="{00000000-0005-0000-0000-0000670C0000}"/>
    <cellStyle name="Uwaga 4 2 2 2" xfId="942" xr:uid="{00000000-0005-0000-0000-0000680C0000}"/>
    <cellStyle name="Uwaga 4 2 3" xfId="1060" xr:uid="{00000000-0005-0000-0000-0000690C0000}"/>
    <cellStyle name="Uwaga 4 2 4" xfId="829" xr:uid="{00000000-0005-0000-0000-00006A0C0000}"/>
    <cellStyle name="Uwaga 4 3" xfId="633" xr:uid="{00000000-0005-0000-0000-00006B0C0000}"/>
    <cellStyle name="Uwaga 4 3 2" xfId="885" xr:uid="{00000000-0005-0000-0000-00006C0C0000}"/>
    <cellStyle name="Uwaga 4 4" xfId="1007" xr:uid="{00000000-0005-0000-0000-00006D0C0000}"/>
    <cellStyle name="Uwaga 4 5" xfId="777" xr:uid="{00000000-0005-0000-0000-00006E0C0000}"/>
    <cellStyle name="Uwaga 4 6" xfId="539" xr:uid="{00000000-0005-0000-0000-00006F0C0000}"/>
    <cellStyle name="Uwaga 5" xfId="714" xr:uid="{00000000-0005-0000-0000-0000700C0000}"/>
    <cellStyle name="Uwaga 5 2" xfId="967" xr:uid="{00000000-0005-0000-0000-0000710C0000}"/>
    <cellStyle name="Walutowy 2" xfId="23" xr:uid="{00000000-0005-0000-0000-0000730C0000}"/>
    <cellStyle name="Walutowy 2 2" xfId="205" xr:uid="{00000000-0005-0000-0000-0000740C0000}"/>
    <cellStyle name="Walutowy 2 2 2" xfId="3199" xr:uid="{00000000-0005-0000-0000-0000750C0000}"/>
    <cellStyle name="Walutowy 2 2 3" xfId="3200" xr:uid="{00000000-0005-0000-0000-0000760C0000}"/>
    <cellStyle name="Walutowy 2 2 4" xfId="3201" xr:uid="{00000000-0005-0000-0000-0000770C0000}"/>
    <cellStyle name="Walutowy 2 2 5" xfId="3183" xr:uid="{00000000-0005-0000-0000-0000780C0000}"/>
    <cellStyle name="Walutowy 2 3" xfId="269" xr:uid="{00000000-0005-0000-0000-0000790C0000}"/>
    <cellStyle name="Walutowy 2 3 2" xfId="3202" xr:uid="{00000000-0005-0000-0000-00007A0C0000}"/>
    <cellStyle name="Walutowy 2 3 3" xfId="3185" xr:uid="{00000000-0005-0000-0000-00007B0C0000}"/>
    <cellStyle name="Walutowy 2 4" xfId="200" xr:uid="{00000000-0005-0000-0000-00007C0C0000}"/>
    <cellStyle name="Walutowy 2 4 2" xfId="3203" xr:uid="{00000000-0005-0000-0000-00007D0C0000}"/>
    <cellStyle name="Walutowy 2 5" xfId="280" xr:uid="{00000000-0005-0000-0000-00007E0C0000}"/>
    <cellStyle name="Walutowy 2 5 2" xfId="959" xr:uid="{00000000-0005-0000-0000-00007F0C0000}"/>
    <cellStyle name="Walutowy 2 6" xfId="477" xr:uid="{00000000-0005-0000-0000-0000800C0000}"/>
    <cellStyle name="Walutowy 3" xfId="284" xr:uid="{00000000-0005-0000-0000-0000810C0000}"/>
    <cellStyle name="Walutowy 3 2" xfId="961" xr:uid="{00000000-0005-0000-0000-0000820C0000}"/>
    <cellStyle name="Walutowy 3 3" xfId="1449" xr:uid="{00000000-0005-0000-0000-0000830C0000}"/>
    <cellStyle name="Walutowy 4" xfId="1450" xr:uid="{00000000-0005-0000-0000-0000840C0000}"/>
    <cellStyle name="Walutowy 5" xfId="1451" xr:uid="{00000000-0005-0000-0000-0000850C0000}"/>
    <cellStyle name="Walutowy 6" xfId="2236" xr:uid="{00000000-0005-0000-0000-0000860C0000}"/>
    <cellStyle name="Warning Text" xfId="345" builtinId="11" customBuiltin="1"/>
    <cellStyle name="Złe 2" xfId="143" xr:uid="{00000000-0005-0000-0000-0000870C0000}"/>
    <cellStyle name="Złe 2 2" xfId="512" xr:uid="{00000000-0005-0000-0000-0000880C0000}"/>
    <cellStyle name="Złe 2 3" xfId="401" xr:uid="{00000000-0005-0000-0000-0000890C0000}"/>
    <cellStyle name="Złe 3" xfId="211" xr:uid="{00000000-0005-0000-0000-00008A0C0000}"/>
  </cellStyles>
  <dxfs count="20">
    <dxf>
      <font>
        <color rgb="FF006100"/>
      </font>
    </dxf>
    <dxf>
      <font>
        <color rgb="FFFF0000"/>
      </font>
    </dxf>
    <dxf>
      <font>
        <color rgb="FF006100"/>
      </font>
    </dxf>
    <dxf>
      <font>
        <color rgb="FFFF0000"/>
      </font>
    </dxf>
    <dxf>
      <font>
        <color rgb="FF006100"/>
      </font>
    </dxf>
    <dxf>
      <font>
        <color rgb="FFFF0000"/>
      </font>
    </dxf>
    <dxf>
      <font>
        <color rgb="FF006100"/>
      </font>
    </dxf>
    <dxf>
      <font>
        <color rgb="FFFF0000"/>
      </font>
    </dxf>
    <dxf>
      <font>
        <color rgb="FF006100"/>
      </font>
    </dxf>
    <dxf>
      <font>
        <color rgb="FFFF0000"/>
      </font>
    </dxf>
    <dxf>
      <font>
        <color rgb="FF006100"/>
      </font>
    </dxf>
    <dxf>
      <font>
        <color rgb="FFFF0000"/>
      </font>
    </dxf>
    <dxf>
      <font>
        <color rgb="FF006100"/>
      </font>
    </dxf>
    <dxf>
      <font>
        <color rgb="FFFF0000"/>
      </font>
    </dxf>
    <dxf>
      <font>
        <color rgb="FF006100"/>
      </font>
    </dxf>
    <dxf>
      <font>
        <color rgb="FFFF0000"/>
      </font>
    </dxf>
    <dxf>
      <font>
        <color rgb="FF006100"/>
      </font>
    </dxf>
    <dxf>
      <font>
        <color rgb="FFFF0000"/>
      </font>
    </dxf>
    <dxf>
      <font>
        <color rgb="FF006100"/>
      </font>
    </dxf>
    <dxf>
      <font>
        <color rgb="FFFF000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Krzysztof Wiśniewski" id="{812F999F-6521-4176-8F98-E18062251FAD}" userId="S::krzysztof.wisniewski@alterland.io::ac9dbb8c-8bd5-4193-a549-446d17cd1319" providerId="AD"/>
</personList>
</file>

<file path=xl/theme/theme1.xml><?xml version="1.0" encoding="utf-8"?>
<a:theme xmlns:a="http://schemas.openxmlformats.org/drawingml/2006/main" name="Motyw_INC">
  <a:themeElements>
    <a:clrScheme name="Motyw_INC">
      <a:dk1>
        <a:sysClr val="windowText" lastClr="000000"/>
      </a:dk1>
      <a:lt1>
        <a:sysClr val="window" lastClr="FFFFFF"/>
      </a:lt1>
      <a:dk2>
        <a:srgbClr val="102753"/>
      </a:dk2>
      <a:lt2>
        <a:srgbClr val="FDE4D7"/>
      </a:lt2>
      <a:accent1>
        <a:srgbClr val="102753"/>
      </a:accent1>
      <a:accent2>
        <a:srgbClr val="9B9B9B"/>
      </a:accent2>
      <a:accent3>
        <a:srgbClr val="F56318"/>
      </a:accent3>
      <a:accent4>
        <a:srgbClr val="F79646"/>
      </a:accent4>
      <a:accent5>
        <a:srgbClr val="323232"/>
      </a:accent5>
      <a:accent6>
        <a:srgbClr val="6F96E3"/>
      </a:accent6>
      <a:hlink>
        <a:srgbClr val="0000FF"/>
      </a:hlink>
      <a:folHlink>
        <a:srgbClr val="800080"/>
      </a:folHlink>
    </a:clrScheme>
    <a:fontScheme name="Office — klasyczny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47" dT="2026-01-31T09:35:01.89" personId="{812F999F-6521-4176-8F98-E18062251FAD}" id="{678B9B55-396D-482C-B197-7254E6A31CBB}">
    <text>Wpisać wersję alternatywną dla GB300 i opcjonalną informację o tym że zakładamy VR będzie 30% droższy - drugi model do obliczeń</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839"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A6904CD-0C1F-452B-9317-D7B62513E373}">
  <we:reference id="wa200009404" version="1.0.0.5" store="pl-PL" storeType="OMEX"/>
  <we:alternateReferences>
    <we:reference id="WA200009404" version="1.0.0.5" store="WA200009404" storeType="OMEX"/>
  </we:alternateReferences>
  <we:properties>
    <we:property name="Office.AutoShowTaskpaneWithDocument" value="true"/>
  </we:properties>
  <we:bindings/>
  <we:snapshot xmlns:r="http://schemas.openxmlformats.org/officeDocument/2006/relationships"/>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hyperlink" Target="../../analiza%20rynku%20DC/DC%20-%20salaries.html" TargetMode="Externa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47F61-0CBB-427F-954F-420BF74C2852}">
  <dimension ref="A1:L72"/>
  <sheetViews>
    <sheetView tabSelected="1" zoomScale="130" zoomScaleNormal="130" workbookViewId="0">
      <pane ySplit="2" topLeftCell="A3" activePane="bottomLeft" state="frozen"/>
      <selection pane="bottomLeft" activeCell="C58" sqref="C58"/>
    </sheetView>
  </sheetViews>
  <sheetFormatPr defaultRowHeight="14.25"/>
  <cols>
    <col min="1" max="1" width="38.375" style="187" customWidth="1"/>
    <col min="2" max="2" width="17.5" style="187" customWidth="1"/>
    <col min="3" max="3" width="14.125" style="187" customWidth="1"/>
    <col min="4" max="12" width="13.625" style="187" customWidth="1"/>
  </cols>
  <sheetData>
    <row r="1" spans="1:12">
      <c r="A1" s="182" t="s">
        <v>1806</v>
      </c>
      <c r="B1" s="182"/>
      <c r="C1" s="182"/>
      <c r="D1" s="182"/>
      <c r="E1" s="182"/>
      <c r="F1" s="182"/>
      <c r="G1" s="182"/>
      <c r="H1" s="182"/>
      <c r="I1" s="182"/>
      <c r="J1" s="182"/>
      <c r="K1" s="182"/>
      <c r="L1" s="182"/>
    </row>
    <row r="2" spans="1:12">
      <c r="A2" s="185" t="s">
        <v>1807</v>
      </c>
    </row>
    <row r="3" spans="1:12">
      <c r="A3" s="188"/>
      <c r="B3" s="188"/>
      <c r="C3" s="188"/>
      <c r="D3" s="188"/>
      <c r="E3" s="188"/>
      <c r="F3" s="188"/>
      <c r="G3" s="188"/>
      <c r="H3" s="188"/>
      <c r="I3" s="188"/>
      <c r="J3" s="188"/>
      <c r="K3" s="188"/>
      <c r="L3" s="188"/>
    </row>
    <row r="4" spans="1:12">
      <c r="A4" s="193" t="s">
        <v>1842</v>
      </c>
      <c r="B4" s="416"/>
      <c r="C4" s="416"/>
      <c r="D4" s="416"/>
      <c r="E4" s="416"/>
      <c r="F4" s="416"/>
      <c r="G4" s="416"/>
      <c r="H4" s="416"/>
      <c r="I4" s="416"/>
      <c r="J4" s="416"/>
      <c r="K4" s="416"/>
      <c r="L4" s="416"/>
    </row>
    <row r="5" spans="1:12">
      <c r="A5" s="414" t="s">
        <v>1843</v>
      </c>
      <c r="B5" s="187" t="s">
        <v>1844</v>
      </c>
    </row>
    <row r="6" spans="1:12">
      <c r="A6" s="187" t="s">
        <v>1845</v>
      </c>
      <c r="B6" s="187" t="s">
        <v>766</v>
      </c>
    </row>
    <row r="7" spans="1:12">
      <c r="A7" s="187" t="s">
        <v>1846</v>
      </c>
      <c r="B7" s="187" t="s">
        <v>1847</v>
      </c>
    </row>
    <row r="8" spans="1:12">
      <c r="A8" s="187" t="s">
        <v>1848</v>
      </c>
      <c r="B8" s="452" t="str">
        <f>Assumptions!B15&amp;" racks × "&amp;Assumptions!B14&amp;" GPUs/rack = "&amp;TEXT(Assumptions!B16,"#,##0")&amp;" GPUs"</f>
        <v>512 racks × 72 GPUs/rack = 36,864 GPUs</v>
      </c>
    </row>
    <row r="9" spans="1:12">
      <c r="A9" s="187" t="s">
        <v>821</v>
      </c>
      <c r="B9" s="452" t="str">
        <f>Assumptions!B11</f>
        <v>Vera Rubin NVL72</v>
      </c>
    </row>
    <row r="10" spans="1:12">
      <c r="A10" s="187" t="s">
        <v>1849</v>
      </c>
      <c r="B10" s="187" t="s">
        <v>1850</v>
      </c>
    </row>
    <row r="11" spans="1:12">
      <c r="A11" s="187" t="s">
        <v>1264</v>
      </c>
      <c r="B11" s="187" t="s">
        <v>1851</v>
      </c>
    </row>
    <row r="12" spans="1:12">
      <c r="A12" s="187" t="s">
        <v>1852</v>
      </c>
      <c r="B12" s="187" t="s">
        <v>1853</v>
      </c>
    </row>
    <row r="14" spans="1:12">
      <c r="A14" s="414" t="s">
        <v>1854</v>
      </c>
      <c r="B14" s="529" t="s">
        <v>1855</v>
      </c>
    </row>
    <row r="15" spans="1:12">
      <c r="B15" s="529" t="s">
        <v>1856</v>
      </c>
    </row>
    <row r="16" spans="1:12">
      <c r="B16" s="529" t="s">
        <v>1857</v>
      </c>
    </row>
    <row r="18" spans="1:12">
      <c r="A18" s="193" t="s">
        <v>1808</v>
      </c>
      <c r="B18" s="193"/>
      <c r="C18" s="193"/>
    </row>
    <row r="19" spans="1:12">
      <c r="A19" s="515" t="s">
        <v>645</v>
      </c>
      <c r="B19" s="516">
        <f>SUM(B20:B21)</f>
        <v>3884047346.6308756</v>
      </c>
      <c r="C19" s="517" t="s">
        <v>643</v>
      </c>
    </row>
    <row r="20" spans="1:12">
      <c r="A20" s="187" t="s">
        <v>1809</v>
      </c>
      <c r="B20" s="510">
        <f>Assumptions!B73</f>
        <v>812047346.63087571</v>
      </c>
      <c r="C20" s="509" t="s">
        <v>643</v>
      </c>
    </row>
    <row r="21" spans="1:12">
      <c r="A21" s="187" t="s">
        <v>1810</v>
      </c>
      <c r="B21" s="510">
        <f>Assumptions!B72</f>
        <v>3072000000</v>
      </c>
      <c r="C21" s="509" t="s">
        <v>643</v>
      </c>
    </row>
    <row r="22" spans="1:12">
      <c r="A22" s="187" t="s">
        <v>1811</v>
      </c>
      <c r="B22" s="198">
        <f>Assumptions!B75</f>
        <v>0.79092753662355153</v>
      </c>
    </row>
    <row r="23" spans="1:12">
      <c r="A23" s="187" t="s">
        <v>1812</v>
      </c>
      <c r="B23" s="194">
        <f>Assumptions!B76</f>
        <v>0.06</v>
      </c>
    </row>
    <row r="24" spans="1:12">
      <c r="A24" s="187" t="s">
        <v>1813</v>
      </c>
      <c r="B24" s="511">
        <f>Assumptions!B77</f>
        <v>9</v>
      </c>
    </row>
    <row r="26" spans="1:12">
      <c r="A26" s="193" t="s">
        <v>1814</v>
      </c>
      <c r="B26" s="193"/>
      <c r="C26" s="193"/>
    </row>
    <row r="27" spans="1:12">
      <c r="A27" s="187" t="s">
        <v>686</v>
      </c>
      <c r="B27" s="532">
        <f>'IRR Analysis'!B16</f>
        <v>0.20568046078310709</v>
      </c>
      <c r="C27" s="509" t="s">
        <v>1815</v>
      </c>
    </row>
    <row r="28" spans="1:12">
      <c r="A28" s="515" t="s">
        <v>688</v>
      </c>
      <c r="B28" s="533">
        <f>'IRR Analysis'!B29</f>
        <v>0.38092292466209332</v>
      </c>
      <c r="C28" s="517" t="s">
        <v>1816</v>
      </c>
    </row>
    <row r="29" spans="1:12" s="531" customFormat="1">
      <c r="A29" s="195" t="s">
        <v>1817</v>
      </c>
      <c r="B29" s="530">
        <f>B28-B27</f>
        <v>0.17524246387898623</v>
      </c>
      <c r="C29" s="195"/>
      <c r="D29" s="195"/>
      <c r="E29" s="195"/>
      <c r="F29" s="195"/>
      <c r="G29" s="195"/>
      <c r="H29" s="195"/>
      <c r="I29" s="195"/>
      <c r="J29" s="195"/>
      <c r="K29" s="195"/>
      <c r="L29" s="195"/>
    </row>
    <row r="31" spans="1:12">
      <c r="A31" s="187" t="s">
        <v>1818</v>
      </c>
      <c r="B31" s="534">
        <f>'Investment Metrics'!B21</f>
        <v>3.7634421751569902</v>
      </c>
      <c r="C31" s="509" t="s">
        <v>1819</v>
      </c>
    </row>
    <row r="32" spans="1:12">
      <c r="A32" s="515" t="s">
        <v>1820</v>
      </c>
      <c r="B32" s="535">
        <f>'Investment Metrics'!B26</f>
        <v>16.599440554057427</v>
      </c>
      <c r="C32" s="517" t="s">
        <v>1821</v>
      </c>
    </row>
    <row r="34" spans="1:3">
      <c r="A34" s="187" t="s">
        <v>736</v>
      </c>
      <c r="B34" s="512">
        <f>'Investment Metrics'!B40</f>
        <v>8.777500152740533</v>
      </c>
    </row>
    <row r="35" spans="1:3">
      <c r="A35" s="187" t="s">
        <v>1822</v>
      </c>
      <c r="B35" s="512">
        <f>'Investment Metrics'!B46</f>
        <v>9.0279307063620653</v>
      </c>
    </row>
    <row r="37" spans="1:3">
      <c r="A37" s="193" t="s">
        <v>656</v>
      </c>
      <c r="B37" s="193"/>
      <c r="C37" s="193"/>
    </row>
    <row r="38" spans="1:3">
      <c r="A38" s="187" t="s">
        <v>1333</v>
      </c>
      <c r="B38" s="536">
        <f>Assumptions!B93</f>
        <v>0.09</v>
      </c>
      <c r="C38" s="509" t="str">
        <f>Assumptions!C93</f>
        <v>8% (bull) / 9–10% (base) / 12% (bear)</v>
      </c>
    </row>
    <row r="39" spans="1:3">
      <c r="A39" s="187" t="s">
        <v>640</v>
      </c>
      <c r="B39" s="536">
        <f>Assumptions!B94</f>
        <v>0.02</v>
      </c>
    </row>
    <row r="40" spans="1:3">
      <c r="A40" s="187" t="s">
        <v>742</v>
      </c>
      <c r="B40" s="537">
        <f>Assumptions!B95</f>
        <v>14</v>
      </c>
      <c r="C40" s="509" t="str">
        <f>Assumptions!C95</f>
        <v>10× (bear) / 14× (base) / 18× (bull)</v>
      </c>
    </row>
    <row r="42" spans="1:3">
      <c r="A42" s="187" t="s">
        <v>660</v>
      </c>
      <c r="B42" s="510">
        <f>'DCF Analysis'!B37</f>
        <v>-675828253.26890182</v>
      </c>
      <c r="C42" s="509" t="s">
        <v>643</v>
      </c>
    </row>
    <row r="43" spans="1:3">
      <c r="A43" s="187" t="s">
        <v>661</v>
      </c>
      <c r="B43" s="510">
        <f>'DCF Analysis'!B38</f>
        <v>4381905243.5901165</v>
      </c>
      <c r="C43" s="509" t="s">
        <v>643</v>
      </c>
    </row>
    <row r="44" spans="1:3">
      <c r="A44" s="518" t="s">
        <v>662</v>
      </c>
      <c r="B44" s="519">
        <f>'DCF Analysis'!B39</f>
        <v>3706076990.3212147</v>
      </c>
      <c r="C44" s="520" t="s">
        <v>643</v>
      </c>
    </row>
    <row r="45" spans="1:3">
      <c r="A45" s="187" t="s">
        <v>663</v>
      </c>
      <c r="B45" s="510">
        <f>'DCF Analysis'!B40</f>
        <v>-2863108324.6020012</v>
      </c>
      <c r="C45" s="509" t="s">
        <v>643</v>
      </c>
    </row>
    <row r="46" spans="1:3" ht="15" thickBot="1">
      <c r="A46" s="521" t="s">
        <v>664</v>
      </c>
      <c r="B46" s="538">
        <f>'DCF Analysis'!B41</f>
        <v>842968665.71921349</v>
      </c>
      <c r="C46" s="522" t="s">
        <v>643</v>
      </c>
    </row>
    <row r="47" spans="1:3" ht="15" thickTop="1">
      <c r="A47" s="187" t="s">
        <v>1823</v>
      </c>
      <c r="B47" s="513">
        <f>'DCF Analysis'!B43</f>
        <v>1.0380782219369695</v>
      </c>
      <c r="C47" s="509" t="s">
        <v>666</v>
      </c>
    </row>
    <row r="49" spans="1:12">
      <c r="A49" s="193" t="s">
        <v>1824</v>
      </c>
      <c r="B49" s="416"/>
      <c r="C49" s="416"/>
      <c r="D49" s="416"/>
      <c r="E49" s="416"/>
      <c r="F49" s="416"/>
      <c r="G49" s="416"/>
      <c r="H49" s="416"/>
      <c r="I49" s="416"/>
      <c r="J49" s="416"/>
      <c r="K49" s="416"/>
      <c r="L49" s="416"/>
    </row>
    <row r="50" spans="1:12" ht="14.1" customHeight="1">
      <c r="A50" s="189" t="s">
        <v>576</v>
      </c>
      <c r="B50" s="213" t="s">
        <v>1825</v>
      </c>
      <c r="C50" s="470" t="s">
        <v>1826</v>
      </c>
      <c r="D50" s="470" t="s">
        <v>1827</v>
      </c>
      <c r="E50" s="470" t="s">
        <v>1828</v>
      </c>
      <c r="F50" s="470" t="s">
        <v>1829</v>
      </c>
      <c r="G50" s="470" t="s">
        <v>1830</v>
      </c>
      <c r="H50" s="470" t="s">
        <v>1831</v>
      </c>
      <c r="I50" s="470" t="s">
        <v>1832</v>
      </c>
      <c r="J50" s="470" t="s">
        <v>1833</v>
      </c>
      <c r="K50" s="470" t="s">
        <v>1834</v>
      </c>
      <c r="L50" s="470" t="s">
        <v>1835</v>
      </c>
    </row>
    <row r="51" spans="1:12" s="419" customFormat="1" ht="14.1" customHeight="1">
      <c r="A51" s="539" t="s">
        <v>648</v>
      </c>
      <c r="B51" s="540"/>
      <c r="C51" s="541">
        <f>'P&amp;L'!F6</f>
        <v>2026</v>
      </c>
      <c r="D51" s="541">
        <f>'P&amp;L'!G6</f>
        <v>2027</v>
      </c>
      <c r="E51" s="541">
        <f>'P&amp;L'!H6</f>
        <v>2028</v>
      </c>
      <c r="F51" s="541">
        <f>'P&amp;L'!I6</f>
        <v>2029</v>
      </c>
      <c r="G51" s="541">
        <f>'P&amp;L'!J6</f>
        <v>2030</v>
      </c>
      <c r="H51" s="541">
        <f>'P&amp;L'!K6</f>
        <v>2031</v>
      </c>
      <c r="I51" s="541">
        <f>'P&amp;L'!L6</f>
        <v>2032</v>
      </c>
      <c r="J51" s="541">
        <f>'P&amp;L'!M6</f>
        <v>2033</v>
      </c>
      <c r="K51" s="541">
        <f>'P&amp;L'!N6</f>
        <v>2034</v>
      </c>
      <c r="L51" s="541">
        <f>'P&amp;L'!O6</f>
        <v>2035</v>
      </c>
    </row>
    <row r="52" spans="1:12">
      <c r="A52" s="414" t="s">
        <v>1836</v>
      </c>
      <c r="C52" s="510">
        <f>'P&amp;L'!F7</f>
        <v>0</v>
      </c>
      <c r="D52" s="510">
        <f>'P&amp;L'!G7</f>
        <v>678150144</v>
      </c>
      <c r="E52" s="510">
        <f>'P&amp;L'!H7</f>
        <v>775028736</v>
      </c>
      <c r="F52" s="510">
        <f>'P&amp;L'!I7</f>
        <v>871907328</v>
      </c>
      <c r="G52" s="510">
        <f>'P&amp;L'!J7</f>
        <v>871907328</v>
      </c>
      <c r="H52" s="510">
        <f>'P&amp;L'!K7</f>
        <v>871907328</v>
      </c>
      <c r="I52" s="510">
        <f>'P&amp;L'!L7</f>
        <v>871907328</v>
      </c>
      <c r="J52" s="510">
        <f>'P&amp;L'!M7</f>
        <v>871907328</v>
      </c>
      <c r="K52" s="510">
        <f>'P&amp;L'!N7</f>
        <v>871907328</v>
      </c>
      <c r="L52" s="510">
        <f>'P&amp;L'!O7</f>
        <v>871907328</v>
      </c>
    </row>
    <row r="53" spans="1:12">
      <c r="A53" s="187" t="s">
        <v>1837</v>
      </c>
      <c r="C53" s="510">
        <f>'P&amp;L'!F37</f>
        <v>-3604000</v>
      </c>
      <c r="D53" s="510">
        <f>'P&amp;L'!G37</f>
        <v>-91322596</v>
      </c>
      <c r="E53" s="510">
        <f>'P&amp;L'!H37</f>
        <v>98051953.700000048</v>
      </c>
      <c r="F53" s="510">
        <f>'P&amp;L'!I37</f>
        <v>264876432.1085</v>
      </c>
      <c r="G53" s="510">
        <f>'P&amp;L'!J37</f>
        <v>330489710.37802243</v>
      </c>
      <c r="H53" s="510">
        <f>'P&amp;L'!K37</f>
        <v>342084449.30946475</v>
      </c>
      <c r="I53" s="510">
        <f>'P&amp;L'!L37</f>
        <v>310591258.53874874</v>
      </c>
      <c r="J53" s="510">
        <f>'P&amp;L'!M37</f>
        <v>364463310.43266106</v>
      </c>
      <c r="K53" s="510">
        <f>'P&amp;L'!N37</f>
        <v>406586763.23727846</v>
      </c>
      <c r="L53" s="510">
        <f>'P&amp;L'!O37</f>
        <v>439269928.74132496</v>
      </c>
    </row>
    <row r="54" spans="1:12">
      <c r="A54" s="523" t="s">
        <v>285</v>
      </c>
      <c r="B54" s="524"/>
      <c r="C54" s="525">
        <f>'P&amp;L'!F38</f>
        <v>-3604000</v>
      </c>
      <c r="D54" s="525">
        <f>'P&amp;L'!G38</f>
        <v>549682404</v>
      </c>
      <c r="E54" s="525">
        <f>'P&amp;L'!H38</f>
        <v>629844953.70000005</v>
      </c>
      <c r="F54" s="525">
        <f>'P&amp;L'!I38</f>
        <v>709102957.1085</v>
      </c>
      <c r="G54" s="525">
        <f>'P&amp;L'!J38</f>
        <v>704475641.62802243</v>
      </c>
      <c r="H54" s="525">
        <f>'P&amp;L'!K38</f>
        <v>699699585.74696469</v>
      </c>
      <c r="I54" s="525">
        <f>'P&amp;L'!L38</f>
        <v>694940153.47937369</v>
      </c>
      <c r="J54" s="525">
        <f>'P&amp;L'!M38</f>
        <v>690037938.24375486</v>
      </c>
      <c r="K54" s="525">
        <f>'P&amp;L'!N38</f>
        <v>684988656.55106759</v>
      </c>
      <c r="L54" s="525">
        <f>'P&amp;L'!O38</f>
        <v>679787896.40759957</v>
      </c>
    </row>
    <row r="55" spans="1:12">
      <c r="A55" s="195" t="s">
        <v>1838</v>
      </c>
      <c r="C55" s="514">
        <f>'P&amp;L'!F39</f>
        <v>0</v>
      </c>
      <c r="D55" s="514">
        <f>'P&amp;L'!G39</f>
        <v>0.81056150892743895</v>
      </c>
      <c r="E55" s="514">
        <f>'P&amp;L'!H39</f>
        <v>0.81267303319705564</v>
      </c>
      <c r="F55" s="514">
        <f>'P&amp;L'!I39</f>
        <v>0.81327789586888299</v>
      </c>
      <c r="G55" s="514">
        <f>'P&amp;L'!J39</f>
        <v>0.80797077740356193</v>
      </c>
      <c r="H55" s="514">
        <f>'P&amp;L'!K39</f>
        <v>0.80249306695466227</v>
      </c>
      <c r="I55" s="514">
        <f>'P&amp;L'!L39</f>
        <v>0.79703442230889665</v>
      </c>
      <c r="J55" s="514">
        <f>'P&amp;L'!M39</f>
        <v>0.79141201832375796</v>
      </c>
      <c r="K55" s="514">
        <f>'P&amp;L'!N39</f>
        <v>0.78562094221906531</v>
      </c>
      <c r="L55" s="514">
        <f>'P&amp;L'!O39</f>
        <v>0.77965613383123167</v>
      </c>
    </row>
    <row r="56" spans="1:12">
      <c r="A56" s="515" t="s">
        <v>1839</v>
      </c>
      <c r="B56" s="515"/>
      <c r="C56" s="526">
        <f>'P&amp;L'!F62</f>
        <v>-3604000</v>
      </c>
      <c r="D56" s="526">
        <f>'P&amp;L'!G62</f>
        <v>-279442596</v>
      </c>
      <c r="E56" s="526">
        <f>'P&amp;L'!H62</f>
        <v>-69588046.299999923</v>
      </c>
      <c r="F56" s="526">
        <f>'P&amp;L'!I62</f>
        <v>117716432.10850003</v>
      </c>
      <c r="G56" s="526">
        <f>'P&amp;L'!J62</f>
        <v>203809710.37802243</v>
      </c>
      <c r="H56" s="526">
        <f>'P&amp;L'!K62</f>
        <v>197167018.90522718</v>
      </c>
      <c r="I56" s="526">
        <f>'P&amp;L'!L62</f>
        <v>185223719.41638649</v>
      </c>
      <c r="J56" s="526">
        <f>'P&amp;L'!M62</f>
        <v>245448881.45045546</v>
      </c>
      <c r="K56" s="526">
        <f>'P&amp;L'!N62</f>
        <v>296157678.22219557</v>
      </c>
      <c r="L56" s="526">
        <f>'P&amp;L'!O62</f>
        <v>339219842.28047323</v>
      </c>
    </row>
    <row r="58" spans="1:12">
      <c r="A58" s="523" t="s">
        <v>655</v>
      </c>
      <c r="B58" s="524"/>
      <c r="C58" s="525">
        <f>'DCF Analysis'!B30</f>
        <v>-3675209671.2328768</v>
      </c>
      <c r="D58" s="525">
        <f>'DCF Analysis'!C30</f>
        <v>517066209.4246574</v>
      </c>
      <c r="E58" s="525">
        <f>'DCF Analysis'!D30</f>
        <v>538584900.51371241</v>
      </c>
      <c r="F58" s="525">
        <f>'DCF Analysis'!E30</f>
        <v>570890345.56026173</v>
      </c>
      <c r="G58" s="525">
        <f>'DCF Analysis'!F30</f>
        <v>362293288.37639403</v>
      </c>
      <c r="H58" s="525">
        <f>'DCF Analysis'!G30</f>
        <v>161974052.01675573</v>
      </c>
      <c r="I58" s="525">
        <f>'DCF Analysis'!H30</f>
        <v>568510536.50682569</v>
      </c>
      <c r="J58" s="525">
        <f>'DCF Analysis'!I30</f>
        <v>542848149.43901205</v>
      </c>
      <c r="K58" s="525">
        <f>'DCF Analysis'!J30</f>
        <v>531243869.13541549</v>
      </c>
      <c r="L58" s="525">
        <f>'DCF Analysis'!K30</f>
        <v>520997178.5832352</v>
      </c>
    </row>
    <row r="59" spans="1:12">
      <c r="A59" s="187" t="s">
        <v>681</v>
      </c>
      <c r="C59" s="510">
        <f>'IRR Analysis'!B26</f>
        <v>-603209671.23287678</v>
      </c>
      <c r="D59" s="510">
        <f>'IRR Analysis'!C26</f>
        <v>26433676.091324091</v>
      </c>
      <c r="E59" s="510">
        <f>'IRR Analysis'!D26</f>
        <v>64541167.180379122</v>
      </c>
      <c r="F59" s="510">
        <f>'IRR Analysis'!E26</f>
        <v>113435412.22692844</v>
      </c>
      <c r="G59" s="510">
        <f>'IRR Analysis'!F26</f>
        <v>-78572844.956939265</v>
      </c>
      <c r="H59" s="510">
        <f>'IRR Analysis'!G26</f>
        <v>-262303281.31657755</v>
      </c>
      <c r="I59" s="510">
        <f>'IRR Analysis'!H26</f>
        <v>160822003.17349237</v>
      </c>
      <c r="J59" s="510">
        <f>'IRR Analysis'!I26</f>
        <v>151748416.10567874</v>
      </c>
      <c r="K59" s="510">
        <f>'IRR Analysis'!J26</f>
        <v>156732935.80208218</v>
      </c>
      <c r="L59" s="510">
        <f>'IRR Analysis'!K26</f>
        <v>9680105594.956295</v>
      </c>
    </row>
    <row r="61" spans="1:12">
      <c r="A61" s="187" t="s">
        <v>1840</v>
      </c>
      <c r="C61" s="510">
        <f>CF!F20</f>
        <v>-3105671.2328767125</v>
      </c>
      <c r="D61" s="510">
        <f>CF!G20</f>
        <v>584920794.42465758</v>
      </c>
      <c r="E61" s="510">
        <f>CF!H20</f>
        <v>606699191.30171239</v>
      </c>
      <c r="F61" s="510">
        <f>CF!I20</f>
        <v>688738407.81800175</v>
      </c>
      <c r="G61" s="510">
        <f>CF!J20</f>
        <v>692608999.09126401</v>
      </c>
      <c r="H61" s="510">
        <f>CF!K20</f>
        <v>655776519.9011687</v>
      </c>
      <c r="I61" s="510">
        <f>CF!L20</f>
        <v>655390250.00617647</v>
      </c>
      <c r="J61" s="510">
        <f>CF!M20</f>
        <v>625837110.34334338</v>
      </c>
      <c r="K61" s="510">
        <f>CF!N20</f>
        <v>610342090.8668766</v>
      </c>
      <c r="L61" s="510">
        <f>CF!O20</f>
        <v>596204674.96664023</v>
      </c>
    </row>
    <row r="62" spans="1:12" ht="15" thickBot="1">
      <c r="A62" s="527" t="s">
        <v>1841</v>
      </c>
      <c r="B62" s="521"/>
      <c r="C62" s="528">
        <f>CF!F66</f>
        <v>208891675.39799881</v>
      </c>
      <c r="D62" s="528">
        <f>CF!G66</f>
        <v>193059136.48932308</v>
      </c>
      <c r="E62" s="528">
        <f>CF!H66</f>
        <v>219484994.45770222</v>
      </c>
      <c r="F62" s="528">
        <f>CF!I66</f>
        <v>348430068.94237071</v>
      </c>
      <c r="G62" s="528">
        <f>CF!J66</f>
        <v>301725734.70030141</v>
      </c>
      <c r="H62" s="528">
        <f>CF!K66</f>
        <v>38668921.268136799</v>
      </c>
      <c r="I62" s="528">
        <f>CF!L66</f>
        <v>195705837.94097996</v>
      </c>
      <c r="J62" s="528">
        <f>CF!M66</f>
        <v>343669614.95099002</v>
      </c>
      <c r="K62" s="528">
        <f>CF!N66</f>
        <v>496618372.48453331</v>
      </c>
      <c r="L62" s="528">
        <f>CF!O66</f>
        <v>655909714.11784029</v>
      </c>
    </row>
    <row r="63" spans="1:12" ht="15" thickTop="1"/>
    <row r="64" spans="1:12">
      <c r="A64" s="193" t="s">
        <v>1858</v>
      </c>
      <c r="B64" s="416"/>
      <c r="C64" s="416"/>
      <c r="D64" s="416"/>
      <c r="E64" s="416"/>
      <c r="F64" s="416"/>
      <c r="G64" s="416"/>
      <c r="H64" s="416"/>
      <c r="I64" s="416"/>
      <c r="J64" s="416"/>
      <c r="K64" s="416"/>
      <c r="L64" s="416"/>
    </row>
    <row r="65" spans="1:12">
      <c r="A65" s="187" t="s">
        <v>1859</v>
      </c>
      <c r="C65" s="510">
        <f>'D&amp;A CAPEX'!G44</f>
        <v>3671950000</v>
      </c>
      <c r="D65" s="542" t="s">
        <v>62</v>
      </c>
      <c r="E65" s="542" t="s">
        <v>62</v>
      </c>
      <c r="F65" s="542" t="s">
        <v>62</v>
      </c>
      <c r="G65" s="542" t="s">
        <v>62</v>
      </c>
      <c r="H65" s="542" t="s">
        <v>62</v>
      </c>
      <c r="I65" s="542" t="s">
        <v>62</v>
      </c>
      <c r="J65" s="542" t="s">
        <v>62</v>
      </c>
      <c r="K65" s="542" t="s">
        <v>62</v>
      </c>
      <c r="L65" s="542" t="s">
        <v>62</v>
      </c>
    </row>
    <row r="66" spans="1:12">
      <c r="A66" s="187" t="s">
        <v>1860</v>
      </c>
      <c r="C66" s="542" t="s">
        <v>62</v>
      </c>
      <c r="D66" s="510">
        <f>'D&amp;A CAPEX'!H50</f>
        <v>75000000</v>
      </c>
      <c r="E66" s="510">
        <f>'D&amp;A CAPEX'!I50</f>
        <v>75000000</v>
      </c>
      <c r="F66" s="510">
        <f>'D&amp;A CAPEX'!J50</f>
        <v>75000000</v>
      </c>
      <c r="G66" s="510">
        <f>'D&amp;A CAPEX'!K50</f>
        <v>75000000</v>
      </c>
      <c r="H66" s="510">
        <f>'D&amp;A CAPEX'!L50</f>
        <v>75000000</v>
      </c>
      <c r="I66" s="510">
        <f>'D&amp;A CAPEX'!M50</f>
        <v>75000000</v>
      </c>
      <c r="J66" s="510">
        <f>'D&amp;A CAPEX'!N50</f>
        <v>75000000</v>
      </c>
      <c r="K66" s="510">
        <f>'D&amp;A CAPEX'!O50</f>
        <v>75000000</v>
      </c>
      <c r="L66" s="510">
        <f>'D&amp;A CAPEX'!P50</f>
        <v>75000000</v>
      </c>
    </row>
    <row r="67" spans="1:12">
      <c r="A67" s="187" t="s">
        <v>1861</v>
      </c>
      <c r="C67" s="542" t="s">
        <v>62</v>
      </c>
      <c r="D67" s="542" t="s">
        <v>62</v>
      </c>
      <c r="E67" s="542" t="s">
        <v>62</v>
      </c>
      <c r="F67" s="542" t="s">
        <v>62</v>
      </c>
      <c r="G67" s="510">
        <f>'D&amp;A CAPEX'!K51</f>
        <v>200000000</v>
      </c>
      <c r="H67" s="510">
        <f>'D&amp;A CAPEX'!L51</f>
        <v>400000000</v>
      </c>
      <c r="I67" s="542" t="s">
        <v>62</v>
      </c>
      <c r="J67" s="542" t="s">
        <v>62</v>
      </c>
      <c r="K67" s="542" t="s">
        <v>62</v>
      </c>
      <c r="L67" s="542" t="s">
        <v>62</v>
      </c>
    </row>
    <row r="68" spans="1:12">
      <c r="A68" s="523" t="s">
        <v>1862</v>
      </c>
      <c r="B68" s="524"/>
      <c r="C68" s="525">
        <f>'D&amp;A CAPEX'!G52</f>
        <v>3672050000</v>
      </c>
      <c r="D68" s="525">
        <f>'D&amp;A CAPEX'!H52</f>
        <v>75100000</v>
      </c>
      <c r="E68" s="525">
        <f>'D&amp;A CAPEX'!I52</f>
        <v>75100000</v>
      </c>
      <c r="F68" s="525">
        <f>'D&amp;A CAPEX'!J52</f>
        <v>75100000</v>
      </c>
      <c r="G68" s="525">
        <f>'D&amp;A CAPEX'!K52</f>
        <v>275100000</v>
      </c>
      <c r="H68" s="525">
        <f>'D&amp;A CAPEX'!L52</f>
        <v>475100000</v>
      </c>
      <c r="I68" s="525">
        <f>'D&amp;A CAPEX'!M52</f>
        <v>75100000</v>
      </c>
      <c r="J68" s="525">
        <f>'D&amp;A CAPEX'!N52</f>
        <v>75100000</v>
      </c>
      <c r="K68" s="525">
        <f>'D&amp;A CAPEX'!O52</f>
        <v>75100000</v>
      </c>
      <c r="L68" s="525">
        <f>'D&amp;A CAPEX'!P52</f>
        <v>75100000</v>
      </c>
    </row>
    <row r="69" spans="1:12">
      <c r="A69" s="195" t="s">
        <v>1863</v>
      </c>
      <c r="C69" s="543">
        <f>'P&amp;L'!F16</f>
        <v>0</v>
      </c>
      <c r="D69" s="543">
        <f>'P&amp;L'!G16</f>
        <v>641005000</v>
      </c>
      <c r="E69" s="543">
        <f>'P&amp;L'!H16</f>
        <v>531793000</v>
      </c>
      <c r="F69" s="543">
        <f>'P&amp;L'!I16</f>
        <v>444226525</v>
      </c>
      <c r="G69" s="543">
        <f>'P&amp;L'!J16</f>
        <v>373985931.25</v>
      </c>
      <c r="H69" s="543">
        <f>'P&amp;L'!K16</f>
        <v>357615136.4375</v>
      </c>
      <c r="I69" s="543">
        <f>'P&amp;L'!L16</f>
        <v>384348894.94062501</v>
      </c>
      <c r="J69" s="543">
        <f>'P&amp;L'!M16</f>
        <v>325574627.81109381</v>
      </c>
      <c r="K69" s="543">
        <f>'P&amp;L'!N16</f>
        <v>278401893.31378907</v>
      </c>
      <c r="L69" s="543">
        <f>'P&amp;L'!O16</f>
        <v>240517967.66627458</v>
      </c>
    </row>
    <row r="71" spans="1:12" ht="15" thickBot="1">
      <c r="A71" s="527" t="s">
        <v>1864</v>
      </c>
      <c r="B71" s="521"/>
      <c r="C71" s="545">
        <f>C68</f>
        <v>3672050000</v>
      </c>
      <c r="D71" s="545">
        <f>C71+D68</f>
        <v>3747150000</v>
      </c>
      <c r="E71" s="545">
        <f>D71+E68</f>
        <v>3822250000</v>
      </c>
      <c r="F71" s="545">
        <f>E71+F68</f>
        <v>3897350000</v>
      </c>
      <c r="G71" s="545">
        <f>F71+G68</f>
        <v>4172450000</v>
      </c>
      <c r="H71" s="545">
        <f>G71+H68</f>
        <v>4647550000</v>
      </c>
      <c r="I71" s="545">
        <f>H71+I68</f>
        <v>4722650000</v>
      </c>
      <c r="J71" s="545">
        <f>I71+J68</f>
        <v>4797750000</v>
      </c>
      <c r="K71" s="545">
        <f>J71+K68</f>
        <v>4872850000</v>
      </c>
      <c r="L71" s="545">
        <f>K71+L68</f>
        <v>4947950000</v>
      </c>
    </row>
    <row r="72" spans="1:12" ht="15" thickTop="1"/>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tabColor theme="3"/>
  </sheetPr>
  <dimension ref="A1:O79"/>
  <sheetViews>
    <sheetView showGridLines="0" topLeftCell="A34" zoomScale="115" zoomScaleNormal="115" workbookViewId="0">
      <selection activeCell="F79" sqref="F79"/>
    </sheetView>
  </sheetViews>
  <sheetFormatPr defaultColWidth="9" defaultRowHeight="14.25"/>
  <cols>
    <col min="1" max="2" width="2.375" style="4" customWidth="1"/>
    <col min="3" max="3" width="5.625" style="2" customWidth="1"/>
    <col min="4" max="4" width="50.625" style="2" hidden="1" customWidth="1"/>
    <col min="5" max="5" width="47" style="2" customWidth="1"/>
    <col min="6" max="7" width="12.75" style="3" bestFit="1" customWidth="1"/>
    <col min="8" max="15" width="14" style="3" bestFit="1" customWidth="1"/>
    <col min="16" max="16384" width="9" style="4"/>
  </cols>
  <sheetData>
    <row r="1" spans="1:15" ht="8.25" customHeight="1">
      <c r="A1" s="480"/>
      <c r="B1" s="480"/>
      <c r="C1" s="480"/>
      <c r="D1" s="480"/>
      <c r="E1" s="480"/>
      <c r="F1" s="481"/>
      <c r="G1" s="481"/>
      <c r="H1" s="481"/>
      <c r="I1" s="481"/>
      <c r="J1" s="481"/>
      <c r="K1" s="481"/>
      <c r="L1" s="481"/>
      <c r="M1" s="481"/>
      <c r="N1" s="481"/>
      <c r="O1" s="481"/>
    </row>
    <row r="2" spans="1:15" ht="8.25" customHeight="1">
      <c r="A2" s="480"/>
      <c r="B2" s="480"/>
      <c r="C2" s="480"/>
      <c r="D2" s="480"/>
      <c r="E2" s="480"/>
      <c r="F2" s="481"/>
      <c r="G2" s="481"/>
      <c r="H2" s="481"/>
      <c r="I2" s="481"/>
      <c r="J2" s="481"/>
      <c r="K2" s="481"/>
      <c r="L2" s="481"/>
      <c r="M2" s="481"/>
      <c r="N2" s="481"/>
      <c r="O2" s="481"/>
    </row>
    <row r="3" spans="1:15">
      <c r="A3" s="480"/>
      <c r="B3" s="480"/>
      <c r="C3" s="480"/>
      <c r="D3" s="480"/>
      <c r="E3" s="480"/>
      <c r="F3" s="481"/>
      <c r="G3" s="487"/>
      <c r="H3" s="481"/>
      <c r="I3" s="481"/>
      <c r="J3" s="481"/>
      <c r="K3" s="481"/>
      <c r="L3" s="481"/>
      <c r="M3" s="481"/>
      <c r="N3" s="481"/>
      <c r="O3" s="481"/>
    </row>
    <row r="4" spans="1:15">
      <c r="A4" s="488"/>
      <c r="B4" s="488"/>
      <c r="C4" s="489" t="s">
        <v>323</v>
      </c>
      <c r="D4" s="488"/>
      <c r="E4" s="489" t="s">
        <v>324</v>
      </c>
      <c r="F4" s="492" t="s">
        <v>1384</v>
      </c>
      <c r="G4" s="491"/>
      <c r="H4" s="490"/>
      <c r="I4" s="490"/>
      <c r="J4" s="490"/>
      <c r="K4" s="490"/>
      <c r="L4" s="490"/>
      <c r="M4" s="490"/>
      <c r="N4" s="490"/>
      <c r="O4" s="490"/>
    </row>
    <row r="5" spans="1:15">
      <c r="A5" s="480"/>
      <c r="B5" s="480"/>
      <c r="C5" s="480"/>
      <c r="D5" s="480"/>
      <c r="E5" s="480"/>
      <c r="F5" s="481"/>
      <c r="G5" s="481"/>
      <c r="H5" s="481"/>
      <c r="I5" s="481"/>
      <c r="J5" s="481"/>
      <c r="K5" s="481"/>
      <c r="L5" s="481"/>
      <c r="M5" s="481"/>
      <c r="N5" s="481"/>
      <c r="O5" s="481"/>
    </row>
    <row r="6" spans="1:15" s="5" customFormat="1" ht="15">
      <c r="A6" s="480"/>
      <c r="B6" s="480"/>
      <c r="C6" s="498" t="s">
        <v>325</v>
      </c>
      <c r="D6" s="498"/>
      <c r="E6" s="498"/>
      <c r="F6" s="499">
        <v>2026</v>
      </c>
      <c r="G6" s="499">
        <f>F6+1</f>
        <v>2027</v>
      </c>
      <c r="H6" s="499">
        <f>G6+1</f>
        <v>2028</v>
      </c>
      <c r="I6" s="499">
        <f>H6+1</f>
        <v>2029</v>
      </c>
      <c r="J6" s="499">
        <f>I6+1</f>
        <v>2030</v>
      </c>
      <c r="K6" s="499">
        <f>J6+1</f>
        <v>2031</v>
      </c>
      <c r="L6" s="499">
        <f>K6+1</f>
        <v>2032</v>
      </c>
      <c r="M6" s="499">
        <f>L6+1</f>
        <v>2033</v>
      </c>
      <c r="N6" s="499">
        <f>M6+1</f>
        <v>2034</v>
      </c>
      <c r="O6" s="499">
        <f>N6+1</f>
        <v>2035</v>
      </c>
    </row>
    <row r="7" spans="1:15">
      <c r="A7" s="480"/>
      <c r="B7" s="480"/>
      <c r="C7" s="495" t="s">
        <v>229</v>
      </c>
      <c r="D7" s="495" t="s">
        <v>326</v>
      </c>
      <c r="E7" s="495" t="s">
        <v>327</v>
      </c>
      <c r="F7" s="555"/>
      <c r="G7" s="555"/>
      <c r="H7" s="555"/>
      <c r="I7" s="555"/>
      <c r="J7" s="555"/>
      <c r="K7" s="555"/>
      <c r="L7" s="555"/>
      <c r="M7" s="555"/>
      <c r="N7" s="555"/>
      <c r="O7" s="555"/>
    </row>
    <row r="8" spans="1:15">
      <c r="A8" s="480"/>
      <c r="B8" s="480"/>
      <c r="C8" s="546" t="s">
        <v>6</v>
      </c>
      <c r="D8" s="504" t="s">
        <v>164</v>
      </c>
      <c r="E8" s="504" t="s">
        <v>328</v>
      </c>
      <c r="F8" s="551">
        <f>'P&amp;L'!F62</f>
        <v>-3604000</v>
      </c>
      <c r="G8" s="551">
        <f>'P&amp;L'!G62</f>
        <v>-279442596</v>
      </c>
      <c r="H8" s="551">
        <f>'P&amp;L'!H62</f>
        <v>-69588046.299999923</v>
      </c>
      <c r="I8" s="551">
        <f>'P&amp;L'!I62</f>
        <v>117716432.10850003</v>
      </c>
      <c r="J8" s="551">
        <f>'P&amp;L'!J62</f>
        <v>203809710.37802243</v>
      </c>
      <c r="K8" s="551">
        <f>'P&amp;L'!K62</f>
        <v>197167018.90522718</v>
      </c>
      <c r="L8" s="551">
        <f>'P&amp;L'!L62</f>
        <v>185223719.41638649</v>
      </c>
      <c r="M8" s="551">
        <f>'P&amp;L'!M62</f>
        <v>245448881.45045546</v>
      </c>
      <c r="N8" s="551">
        <f>'P&amp;L'!N62</f>
        <v>296157678.22219557</v>
      </c>
      <c r="O8" s="551">
        <f>'P&amp;L'!O62</f>
        <v>339219842.28047323</v>
      </c>
    </row>
    <row r="9" spans="1:15">
      <c r="A9" s="480"/>
      <c r="B9" s="480"/>
      <c r="C9" s="546" t="s">
        <v>21</v>
      </c>
      <c r="D9" s="504" t="s">
        <v>329</v>
      </c>
      <c r="E9" s="504" t="s">
        <v>330</v>
      </c>
      <c r="F9" s="551">
        <f>SUM(F10:F19)</f>
        <v>498328.76712328766</v>
      </c>
      <c r="G9" s="551">
        <f>SUM(G10:G19)</f>
        <v>864363390.42465758</v>
      </c>
      <c r="H9" s="551">
        <f t="shared" ref="H9:J9" si="0">SUM(H10:H19)</f>
        <v>676287237.60171235</v>
      </c>
      <c r="I9" s="551">
        <f t="shared" si="0"/>
        <v>571021975.70950174</v>
      </c>
      <c r="J9" s="551">
        <f t="shared" si="0"/>
        <v>488799288.71324152</v>
      </c>
      <c r="K9" s="551">
        <f t="shared" ref="K9" si="1">SUM(K10:K19)</f>
        <v>458609500.99594152</v>
      </c>
      <c r="L9" s="551">
        <f>SUM(L10:L19)</f>
        <v>470166530.58978999</v>
      </c>
      <c r="M9" s="551">
        <f>SUM(M10:M19)</f>
        <v>380388228.89288789</v>
      </c>
      <c r="N9" s="551">
        <f>SUM(N10:N19)</f>
        <v>314184412.64468098</v>
      </c>
      <c r="O9" s="551">
        <f>SUM(O10:O19)</f>
        <v>256984832.68616697</v>
      </c>
    </row>
    <row r="10" spans="1:15">
      <c r="A10" s="480"/>
      <c r="B10" s="480"/>
      <c r="C10" s="483" t="s">
        <v>9</v>
      </c>
      <c r="D10" s="480" t="s">
        <v>243</v>
      </c>
      <c r="E10" s="480" t="s">
        <v>331</v>
      </c>
      <c r="F10" s="554">
        <f>'D&amp;A CAPEX'!G38</f>
        <v>0</v>
      </c>
      <c r="G10" s="554">
        <f>'D&amp;A CAPEX'!H38</f>
        <v>641005000</v>
      </c>
      <c r="H10" s="554">
        <f>'D&amp;A CAPEX'!I38</f>
        <v>531793000</v>
      </c>
      <c r="I10" s="554">
        <f>'D&amp;A CAPEX'!J38</f>
        <v>444226525</v>
      </c>
      <c r="J10" s="554">
        <f>'D&amp;A CAPEX'!K38</f>
        <v>373985931.25</v>
      </c>
      <c r="K10" s="554">
        <f>'D&amp;A CAPEX'!L38</f>
        <v>357615136.4375</v>
      </c>
      <c r="L10" s="554">
        <f>'D&amp;A CAPEX'!M38</f>
        <v>384348894.94062501</v>
      </c>
      <c r="M10" s="554">
        <f>'D&amp;A CAPEX'!N38</f>
        <v>325574627.81109381</v>
      </c>
      <c r="N10" s="554">
        <f>'D&amp;A CAPEX'!O38</f>
        <v>278401893.31378907</v>
      </c>
      <c r="O10" s="554">
        <f>'D&amp;A CAPEX'!P38</f>
        <v>240517967.66627458</v>
      </c>
    </row>
    <row r="11" spans="1:15">
      <c r="A11" s="480"/>
      <c r="B11" s="480"/>
      <c r="C11" s="483" t="s">
        <v>12</v>
      </c>
      <c r="D11" s="480" t="s">
        <v>332</v>
      </c>
      <c r="E11" s="480" t="s">
        <v>333</v>
      </c>
      <c r="F11" s="552"/>
      <c r="G11" s="552"/>
      <c r="H11" s="552"/>
      <c r="I11" s="552"/>
      <c r="J11" s="552"/>
      <c r="K11" s="552"/>
      <c r="L11" s="552"/>
      <c r="M11" s="552"/>
      <c r="N11" s="552"/>
      <c r="O11" s="552"/>
    </row>
    <row r="12" spans="1:15">
      <c r="A12" s="480"/>
      <c r="B12" s="480"/>
      <c r="C12" s="483" t="s">
        <v>15</v>
      </c>
      <c r="D12" s="480" t="s">
        <v>334</v>
      </c>
      <c r="E12" s="480" t="s">
        <v>335</v>
      </c>
      <c r="F12" s="554">
        <f>'P&amp;L'!F53</f>
        <v>0</v>
      </c>
      <c r="G12" s="554">
        <f>'P&amp;L'!G53</f>
        <v>184320000</v>
      </c>
      <c r="H12" s="554">
        <f>'P&amp;L'!H53</f>
        <v>163839999.99999997</v>
      </c>
      <c r="I12" s="554">
        <f>'P&amp;L'!I53</f>
        <v>143359999.99999997</v>
      </c>
      <c r="J12" s="554">
        <f>'P&amp;L'!J53</f>
        <v>122879999.99999999</v>
      </c>
      <c r="K12" s="554">
        <f>'P&amp;L'!K53</f>
        <v>102399999.99999999</v>
      </c>
      <c r="L12" s="554">
        <f>'P&amp;L'!L53</f>
        <v>81919999.999999985</v>
      </c>
      <c r="M12" s="554">
        <f>'P&amp;L'!M53</f>
        <v>61440000</v>
      </c>
      <c r="N12" s="554">
        <f>'P&amp;L'!N53</f>
        <v>40960000</v>
      </c>
      <c r="O12" s="554">
        <f>'P&amp;L'!O53</f>
        <v>20480000.000000004</v>
      </c>
    </row>
    <row r="13" spans="1:15">
      <c r="A13" s="480"/>
      <c r="B13" s="480"/>
      <c r="C13" s="483" t="s">
        <v>18</v>
      </c>
      <c r="D13" s="480" t="s">
        <v>336</v>
      </c>
      <c r="E13" s="480" t="s">
        <v>337</v>
      </c>
      <c r="F13" s="552"/>
      <c r="G13" s="552"/>
      <c r="H13" s="552"/>
      <c r="I13" s="552"/>
      <c r="J13" s="552"/>
      <c r="K13" s="552"/>
      <c r="L13" s="552"/>
      <c r="M13" s="552"/>
      <c r="N13" s="552"/>
      <c r="O13" s="552"/>
    </row>
    <row r="14" spans="1:15">
      <c r="A14" s="480"/>
      <c r="B14" s="480"/>
      <c r="C14" s="483" t="s">
        <v>96</v>
      </c>
      <c r="D14" s="480" t="s">
        <v>338</v>
      </c>
      <c r="E14" s="480" t="s">
        <v>339</v>
      </c>
      <c r="F14" s="552"/>
      <c r="G14" s="552"/>
      <c r="H14" s="552"/>
      <c r="I14" s="552"/>
      <c r="J14" s="552"/>
      <c r="K14" s="552"/>
      <c r="L14" s="552"/>
      <c r="M14" s="552"/>
      <c r="N14" s="552"/>
      <c r="O14" s="552"/>
    </row>
    <row r="15" spans="1:15">
      <c r="A15" s="480"/>
      <c r="B15" s="480"/>
      <c r="C15" s="483" t="s">
        <v>340</v>
      </c>
      <c r="D15" s="480" t="s">
        <v>341</v>
      </c>
      <c r="E15" s="480" t="s">
        <v>342</v>
      </c>
      <c r="F15" s="554">
        <f>-NWC!F16</f>
        <v>0</v>
      </c>
      <c r="G15" s="554">
        <f>-NWC!G16</f>
        <v>0</v>
      </c>
      <c r="H15" s="554">
        <f>-NWC!H16</f>
        <v>0</v>
      </c>
      <c r="I15" s="554">
        <f>-NWC!I16</f>
        <v>0</v>
      </c>
      <c r="J15" s="554">
        <f>-NWC!J16</f>
        <v>0</v>
      </c>
      <c r="K15" s="554">
        <f>-NWC!K16</f>
        <v>0</v>
      </c>
      <c r="L15" s="554">
        <f>-NWC!L16</f>
        <v>0</v>
      </c>
      <c r="M15" s="554">
        <f>-NWC!M16</f>
        <v>0</v>
      </c>
      <c r="N15" s="554">
        <f>-NWC!N16</f>
        <v>0</v>
      </c>
      <c r="O15" s="554">
        <f>-NWC!O16</f>
        <v>0</v>
      </c>
    </row>
    <row r="16" spans="1:15">
      <c r="A16" s="480"/>
      <c r="B16" s="480"/>
      <c r="C16" s="483" t="s">
        <v>343</v>
      </c>
      <c r="D16" s="480" t="s">
        <v>344</v>
      </c>
      <c r="E16" s="480" t="s">
        <v>345</v>
      </c>
      <c r="F16" s="554">
        <f>-NWC!F17</f>
        <v>0</v>
      </c>
      <c r="G16" s="554">
        <f>-NWC!G17</f>
        <v>-55738368</v>
      </c>
      <c r="H16" s="554">
        <f>-NWC!H17</f>
        <v>-7962624</v>
      </c>
      <c r="I16" s="554">
        <f>-NWC!I17</f>
        <v>-7962624</v>
      </c>
      <c r="J16" s="554">
        <f>-NWC!J17</f>
        <v>0</v>
      </c>
      <c r="K16" s="554">
        <f>-NWC!K17</f>
        <v>0</v>
      </c>
      <c r="L16" s="554">
        <f>-NWC!L17</f>
        <v>0</v>
      </c>
      <c r="M16" s="554">
        <f>-NWC!M17</f>
        <v>0</v>
      </c>
      <c r="N16" s="554">
        <f>-NWC!N17</f>
        <v>0</v>
      </c>
      <c r="O16" s="554">
        <f>-NWC!O17</f>
        <v>0</v>
      </c>
    </row>
    <row r="17" spans="1:15">
      <c r="A17" s="480"/>
      <c r="B17" s="480"/>
      <c r="C17" s="483" t="s">
        <v>346</v>
      </c>
      <c r="D17" s="480" t="s">
        <v>347</v>
      </c>
      <c r="E17" s="480" t="s">
        <v>348</v>
      </c>
      <c r="F17" s="554">
        <f>NWC!F18</f>
        <v>444328.76712328766</v>
      </c>
      <c r="G17" s="554">
        <f>NWC!G18</f>
        <v>94422173.424657539</v>
      </c>
      <c r="H17" s="554">
        <f>NWC!H18</f>
        <v>-11403611.223287672</v>
      </c>
      <c r="I17" s="554">
        <f>NWC!I18</f>
        <v>-8623465.4476232976</v>
      </c>
      <c r="J17" s="554">
        <f>NWC!J18</f>
        <v>-8089308.2798041254</v>
      </c>
      <c r="K17" s="554">
        <f>NWC!K18</f>
        <v>-1429488.3614106998</v>
      </c>
      <c r="L17" s="554">
        <f>NWC!L18</f>
        <v>3882722.1498143002</v>
      </c>
      <c r="M17" s="554">
        <f>NWC!M18</f>
        <v>-6641759.8225371316</v>
      </c>
      <c r="N17" s="554">
        <f>NWC!N18</f>
        <v>-5193302.4005692676</v>
      </c>
      <c r="O17" s="554">
        <f>NWC!O18</f>
        <v>-4029431.3635125831</v>
      </c>
    </row>
    <row r="18" spans="1:15">
      <c r="A18" s="480"/>
      <c r="B18" s="480"/>
      <c r="C18" s="486" t="s">
        <v>349</v>
      </c>
      <c r="D18" s="480" t="s">
        <v>350</v>
      </c>
      <c r="E18" s="480" t="s">
        <v>351</v>
      </c>
      <c r="F18" s="554">
        <f>-(BS!F147-0)+(BS!F148-0)</f>
        <v>54000</v>
      </c>
      <c r="G18" s="554">
        <f>-(BS!G147-BS!F147)+(BS!G148-BS!F148)</f>
        <v>354585</v>
      </c>
      <c r="H18" s="554">
        <f>-(BS!H147-BS!G147)+(BS!H148-BS!G148)</f>
        <v>20472.82500000007</v>
      </c>
      <c r="I18" s="554">
        <f>-(BS!I147-BS!H147)+(BS!I148-BS!H148)</f>
        <v>21540.157124999881</v>
      </c>
      <c r="J18" s="554">
        <f>-(BS!J147-BS!I147)+(BS!J148-BS!I148)</f>
        <v>22665.743045624986</v>
      </c>
      <c r="K18" s="554">
        <f>-(BS!K147-BS!J147)+(BS!K148-BS!J148)</f>
        <v>23852.919852178078</v>
      </c>
      <c r="L18" s="554">
        <f>-(BS!L147-BS!K147)+(BS!L148-BS!K148)</f>
        <v>14913.499350684026</v>
      </c>
      <c r="M18" s="554">
        <f>-(BS!M147-BS!L147)+(BS!M148-BS!L148)</f>
        <v>15360.904331204714</v>
      </c>
      <c r="N18" s="554">
        <f>-(BS!N147-BS!M147)+(BS!N148-BS!M148)</f>
        <v>15821.731461140735</v>
      </c>
      <c r="O18" s="554">
        <f>-(BS!O147-BS!N147)+(BS!O148-BS!N148)</f>
        <v>16296.383404974884</v>
      </c>
    </row>
    <row r="19" spans="1:15">
      <c r="A19" s="480"/>
      <c r="B19" s="480"/>
      <c r="C19" s="483" t="s">
        <v>352</v>
      </c>
      <c r="D19" s="480" t="s">
        <v>353</v>
      </c>
      <c r="E19" s="480" t="s">
        <v>354</v>
      </c>
      <c r="F19" s="552"/>
      <c r="G19" s="552"/>
      <c r="H19" s="552"/>
      <c r="I19" s="552"/>
      <c r="J19" s="552"/>
      <c r="K19" s="552"/>
      <c r="L19" s="552"/>
      <c r="M19" s="552"/>
      <c r="N19" s="552"/>
      <c r="O19" s="552"/>
    </row>
    <row r="20" spans="1:15">
      <c r="A20" s="480"/>
      <c r="B20" s="480"/>
      <c r="C20" s="579" t="s">
        <v>44</v>
      </c>
      <c r="D20" s="568" t="s">
        <v>355</v>
      </c>
      <c r="E20" s="568" t="s">
        <v>356</v>
      </c>
      <c r="F20" s="569">
        <f t="shared" ref="F20:J20" si="2">F8+F9</f>
        <v>-3105671.2328767125</v>
      </c>
      <c r="G20" s="569">
        <f>G8+G9</f>
        <v>584920794.42465758</v>
      </c>
      <c r="H20" s="569">
        <f t="shared" si="2"/>
        <v>606699191.30171239</v>
      </c>
      <c r="I20" s="569">
        <f t="shared" si="2"/>
        <v>688738407.81800175</v>
      </c>
      <c r="J20" s="569">
        <f t="shared" si="2"/>
        <v>692608999.09126401</v>
      </c>
      <c r="K20" s="569">
        <f t="shared" ref="K20" si="3">K8+K9</f>
        <v>655776519.9011687</v>
      </c>
      <c r="L20" s="569">
        <f>L8+L9</f>
        <v>655390250.00617647</v>
      </c>
      <c r="M20" s="569">
        <f>M8+M9</f>
        <v>625837110.34334338</v>
      </c>
      <c r="N20" s="569">
        <f>N8+N9</f>
        <v>610342090.8668766</v>
      </c>
      <c r="O20" s="569">
        <f>O8+O9</f>
        <v>596204674.96664023</v>
      </c>
    </row>
    <row r="21" spans="1:15">
      <c r="A21" s="480"/>
      <c r="B21" s="480"/>
      <c r="C21" s="501" t="s">
        <v>240</v>
      </c>
      <c r="D21" s="495" t="s">
        <v>357</v>
      </c>
      <c r="E21" s="495" t="s">
        <v>358</v>
      </c>
      <c r="F21" s="555"/>
      <c r="G21" s="555"/>
      <c r="H21" s="555"/>
      <c r="I21" s="555"/>
      <c r="J21" s="555"/>
      <c r="K21" s="555"/>
      <c r="L21" s="555"/>
      <c r="M21" s="555"/>
      <c r="N21" s="555"/>
      <c r="O21" s="555"/>
    </row>
    <row r="22" spans="1:15" s="5" customFormat="1" ht="15">
      <c r="A22" s="480"/>
      <c r="B22" s="480"/>
      <c r="C22" s="546" t="s">
        <v>6</v>
      </c>
      <c r="D22" s="504" t="s">
        <v>359</v>
      </c>
      <c r="E22" s="504" t="s">
        <v>360</v>
      </c>
      <c r="F22" s="551">
        <f t="shared" ref="F22:J22" si="4">SUM(F23,F24,F25,F33)</f>
        <v>0</v>
      </c>
      <c r="G22" s="551">
        <f t="shared" si="4"/>
        <v>0</v>
      </c>
      <c r="H22" s="551">
        <f t="shared" si="4"/>
        <v>0</v>
      </c>
      <c r="I22" s="551">
        <f t="shared" si="4"/>
        <v>0</v>
      </c>
      <c r="J22" s="551">
        <f t="shared" si="4"/>
        <v>0</v>
      </c>
      <c r="K22" s="551">
        <f t="shared" ref="K22" si="5">SUM(K23,K24,K25,K33)</f>
        <v>0</v>
      </c>
      <c r="L22" s="551">
        <f>SUM(L23,L24,L25,L33)</f>
        <v>0</v>
      </c>
      <c r="M22" s="551">
        <f>SUM(M23,M24,M25,M33)</f>
        <v>0</v>
      </c>
      <c r="N22" s="551">
        <f>SUM(N23,N24,N25,N33)</f>
        <v>0</v>
      </c>
      <c r="O22" s="551">
        <f>SUM(O23,O24,O25,O33)</f>
        <v>0</v>
      </c>
    </row>
    <row r="23" spans="1:15">
      <c r="A23" s="480"/>
      <c r="B23" s="480"/>
      <c r="C23" s="483" t="s">
        <v>9</v>
      </c>
      <c r="D23" s="480" t="s">
        <v>361</v>
      </c>
      <c r="E23" s="480" t="s">
        <v>362</v>
      </c>
      <c r="F23" s="552"/>
      <c r="G23" s="552"/>
      <c r="H23" s="552"/>
      <c r="I23" s="552"/>
      <c r="J23" s="552"/>
      <c r="K23" s="552"/>
      <c r="L23" s="552"/>
      <c r="M23" s="552"/>
      <c r="N23" s="552"/>
      <c r="O23" s="552"/>
    </row>
    <row r="24" spans="1:15">
      <c r="A24" s="480"/>
      <c r="B24" s="480"/>
      <c r="C24" s="483" t="s">
        <v>12</v>
      </c>
      <c r="D24" s="480" t="s">
        <v>363</v>
      </c>
      <c r="E24" s="480" t="s">
        <v>364</v>
      </c>
      <c r="F24" s="552"/>
      <c r="G24" s="552"/>
      <c r="H24" s="552"/>
      <c r="I24" s="552"/>
      <c r="J24" s="552"/>
      <c r="K24" s="552"/>
      <c r="L24" s="552"/>
      <c r="M24" s="552"/>
      <c r="N24" s="552"/>
      <c r="O24" s="552"/>
    </row>
    <row r="25" spans="1:15">
      <c r="A25" s="480"/>
      <c r="B25" s="480"/>
      <c r="C25" s="483" t="s">
        <v>15</v>
      </c>
      <c r="D25" s="480" t="s">
        <v>365</v>
      </c>
      <c r="E25" s="480" t="s">
        <v>366</v>
      </c>
      <c r="F25" s="552">
        <f t="shared" ref="F25:J25" si="6">SUM(F26,F27)</f>
        <v>0</v>
      </c>
      <c r="G25" s="552">
        <v>0</v>
      </c>
      <c r="H25" s="552">
        <v>0</v>
      </c>
      <c r="I25" s="552">
        <f t="shared" si="6"/>
        <v>0</v>
      </c>
      <c r="J25" s="552">
        <f t="shared" si="6"/>
        <v>0</v>
      </c>
      <c r="K25" s="552">
        <f t="shared" ref="K25" si="7">SUM(K26,K27)</f>
        <v>0</v>
      </c>
      <c r="L25" s="552">
        <f>SUM(L26,L27)</f>
        <v>0</v>
      </c>
      <c r="M25" s="552">
        <f>SUM(M26,M27)</f>
        <v>0</v>
      </c>
      <c r="N25" s="552">
        <f>SUM(N26,N27)</f>
        <v>0</v>
      </c>
      <c r="O25" s="552">
        <f>SUM(O26,O27)</f>
        <v>0</v>
      </c>
    </row>
    <row r="26" spans="1:15">
      <c r="A26" s="480"/>
      <c r="B26" s="480"/>
      <c r="C26" s="482" t="s">
        <v>3</v>
      </c>
      <c r="D26" s="480" t="s">
        <v>60</v>
      </c>
      <c r="E26" s="480" t="s">
        <v>233</v>
      </c>
      <c r="F26" s="552"/>
      <c r="G26" s="552"/>
      <c r="H26" s="552"/>
      <c r="I26" s="552"/>
      <c r="J26" s="552"/>
      <c r="K26" s="552"/>
      <c r="L26" s="552"/>
      <c r="M26" s="552"/>
      <c r="N26" s="552"/>
      <c r="O26" s="552"/>
    </row>
    <row r="27" spans="1:15">
      <c r="A27" s="480"/>
      <c r="B27" s="480"/>
      <c r="C27" s="482" t="s">
        <v>28</v>
      </c>
      <c r="D27" s="480" t="s">
        <v>73</v>
      </c>
      <c r="E27" s="480" t="s">
        <v>296</v>
      </c>
      <c r="F27" s="552">
        <f t="shared" ref="F27:J27" si="8">SUM(F28:F32)</f>
        <v>0</v>
      </c>
      <c r="G27" s="552">
        <v>0</v>
      </c>
      <c r="H27" s="552">
        <v>0</v>
      </c>
      <c r="I27" s="552">
        <f t="shared" si="8"/>
        <v>0</v>
      </c>
      <c r="J27" s="552">
        <f t="shared" si="8"/>
        <v>0</v>
      </c>
      <c r="K27" s="552">
        <f t="shared" ref="K27" si="9">SUM(K28:K32)</f>
        <v>0</v>
      </c>
      <c r="L27" s="552">
        <f>SUM(L28:L32)</f>
        <v>0</v>
      </c>
      <c r="M27" s="552">
        <f>SUM(M28:M32)</f>
        <v>0</v>
      </c>
      <c r="N27" s="552">
        <f>SUM(N28:N32)</f>
        <v>0</v>
      </c>
      <c r="O27" s="552">
        <f>SUM(O28:O32)</f>
        <v>0</v>
      </c>
    </row>
    <row r="28" spans="1:15">
      <c r="A28" s="480"/>
      <c r="B28" s="480"/>
      <c r="C28" s="484" t="s">
        <v>62</v>
      </c>
      <c r="D28" s="480" t="s">
        <v>367</v>
      </c>
      <c r="E28" s="480" t="s">
        <v>368</v>
      </c>
      <c r="F28" s="552"/>
      <c r="G28" s="552"/>
      <c r="H28" s="552"/>
      <c r="I28" s="552"/>
      <c r="J28" s="552"/>
      <c r="K28" s="552"/>
      <c r="L28" s="552"/>
      <c r="M28" s="552"/>
      <c r="N28" s="552"/>
      <c r="O28" s="552"/>
    </row>
    <row r="29" spans="1:15">
      <c r="A29" s="480"/>
      <c r="B29" s="480"/>
      <c r="C29" s="484" t="s">
        <v>62</v>
      </c>
      <c r="D29" s="480" t="s">
        <v>369</v>
      </c>
      <c r="E29" s="480" t="s">
        <v>370</v>
      </c>
      <c r="F29" s="552"/>
      <c r="G29" s="552"/>
      <c r="H29" s="552"/>
      <c r="I29" s="552"/>
      <c r="J29" s="552"/>
      <c r="K29" s="552"/>
      <c r="L29" s="552"/>
      <c r="M29" s="552"/>
      <c r="N29" s="552"/>
      <c r="O29" s="552"/>
    </row>
    <row r="30" spans="1:15">
      <c r="A30" s="480"/>
      <c r="B30" s="480"/>
      <c r="C30" s="484" t="s">
        <v>62</v>
      </c>
      <c r="D30" s="480" t="s">
        <v>371</v>
      </c>
      <c r="E30" s="480" t="s">
        <v>372</v>
      </c>
      <c r="F30" s="552"/>
      <c r="G30" s="552">
        <v>0</v>
      </c>
      <c r="H30" s="552">
        <v>0</v>
      </c>
      <c r="I30" s="552"/>
      <c r="J30" s="552"/>
      <c r="K30" s="552"/>
      <c r="L30" s="552"/>
      <c r="M30" s="552"/>
      <c r="N30" s="552"/>
      <c r="O30" s="552"/>
    </row>
    <row r="31" spans="1:15">
      <c r="A31" s="480"/>
      <c r="B31" s="480"/>
      <c r="C31" s="484" t="s">
        <v>62</v>
      </c>
      <c r="D31" s="480" t="s">
        <v>373</v>
      </c>
      <c r="E31" s="480" t="s">
        <v>374</v>
      </c>
      <c r="F31" s="552"/>
      <c r="G31" s="552"/>
      <c r="H31" s="552"/>
      <c r="I31" s="552"/>
      <c r="J31" s="552"/>
      <c r="K31" s="552"/>
      <c r="L31" s="552"/>
      <c r="M31" s="552"/>
      <c r="N31" s="552"/>
      <c r="O31" s="552"/>
    </row>
    <row r="32" spans="1:15">
      <c r="A32" s="480"/>
      <c r="B32" s="480"/>
      <c r="C32" s="484" t="s">
        <v>62</v>
      </c>
      <c r="D32" s="480" t="s">
        <v>375</v>
      </c>
      <c r="E32" s="480" t="s">
        <v>376</v>
      </c>
      <c r="F32" s="552"/>
      <c r="G32" s="552"/>
      <c r="H32" s="552"/>
      <c r="I32" s="552"/>
      <c r="J32" s="552"/>
      <c r="K32" s="552"/>
      <c r="L32" s="552"/>
      <c r="M32" s="552"/>
      <c r="N32" s="552"/>
      <c r="O32" s="552"/>
    </row>
    <row r="33" spans="1:15">
      <c r="A33" s="480"/>
      <c r="B33" s="480"/>
      <c r="C33" s="483" t="s">
        <v>18</v>
      </c>
      <c r="D33" s="480" t="s">
        <v>377</v>
      </c>
      <c r="E33" s="480" t="s">
        <v>378</v>
      </c>
      <c r="F33" s="552"/>
      <c r="G33" s="552"/>
      <c r="H33" s="552"/>
      <c r="I33" s="552"/>
      <c r="J33" s="552"/>
      <c r="K33" s="552"/>
      <c r="L33" s="552"/>
      <c r="M33" s="552"/>
      <c r="N33" s="552"/>
      <c r="O33" s="552"/>
    </row>
    <row r="34" spans="1:15" s="5" customFormat="1" ht="15">
      <c r="A34" s="480"/>
      <c r="B34" s="480"/>
      <c r="C34" s="566" t="s">
        <v>21</v>
      </c>
      <c r="D34" s="504" t="s">
        <v>379</v>
      </c>
      <c r="E34" s="504" t="s">
        <v>380</v>
      </c>
      <c r="F34" s="551">
        <f t="shared" ref="F34:K34" si="10">SUM(F35,F36,F38,F43)</f>
        <v>3672050000</v>
      </c>
      <c r="G34" s="551">
        <f t="shared" si="10"/>
        <v>75100000</v>
      </c>
      <c r="H34" s="551">
        <f t="shared" si="10"/>
        <v>75100000</v>
      </c>
      <c r="I34" s="551">
        <f t="shared" si="10"/>
        <v>75100000</v>
      </c>
      <c r="J34" s="551">
        <f t="shared" si="10"/>
        <v>275100000</v>
      </c>
      <c r="K34" s="551">
        <f t="shared" si="10"/>
        <v>475100000</v>
      </c>
      <c r="L34" s="551">
        <f>SUM(L35,L36,L38,L43)</f>
        <v>75100000</v>
      </c>
      <c r="M34" s="551">
        <f>SUM(M35,M36,M38,M43)</f>
        <v>75100000</v>
      </c>
      <c r="N34" s="551">
        <f>SUM(N35,N36,N38,N43)</f>
        <v>75100000</v>
      </c>
      <c r="O34" s="551">
        <f>SUM(O35,O36,O38,O43)</f>
        <v>75100000</v>
      </c>
    </row>
    <row r="35" spans="1:15">
      <c r="A35" s="480"/>
      <c r="B35" s="480"/>
      <c r="C35" s="483" t="s">
        <v>9</v>
      </c>
      <c r="D35" s="480" t="s">
        <v>381</v>
      </c>
      <c r="E35" s="480" t="s">
        <v>382</v>
      </c>
      <c r="F35" s="554">
        <f>'D&amp;A CAPEX'!G42</f>
        <v>100000</v>
      </c>
      <c r="G35" s="554">
        <f>'D&amp;A CAPEX'!H52</f>
        <v>75100000</v>
      </c>
      <c r="H35" s="554">
        <f>'D&amp;A CAPEX'!I52</f>
        <v>75100000</v>
      </c>
      <c r="I35" s="554">
        <f>'D&amp;A CAPEX'!J52</f>
        <v>75100000</v>
      </c>
      <c r="J35" s="554">
        <f>'D&amp;A CAPEX'!K52</f>
        <v>275100000</v>
      </c>
      <c r="K35" s="554">
        <f>'D&amp;A CAPEX'!L52</f>
        <v>475100000</v>
      </c>
      <c r="L35" s="554">
        <f>'D&amp;A CAPEX'!M52</f>
        <v>75100000</v>
      </c>
      <c r="M35" s="554">
        <f>'D&amp;A CAPEX'!N52</f>
        <v>75100000</v>
      </c>
      <c r="N35" s="554">
        <f>'D&amp;A CAPEX'!O52</f>
        <v>75100000</v>
      </c>
      <c r="O35" s="554">
        <f>'D&amp;A CAPEX'!P52</f>
        <v>75100000</v>
      </c>
    </row>
    <row r="36" spans="1:15">
      <c r="A36" s="480"/>
      <c r="B36" s="480"/>
      <c r="C36" s="486" t="s">
        <v>12</v>
      </c>
      <c r="D36" s="480" t="s">
        <v>383</v>
      </c>
      <c r="E36" s="480" t="s">
        <v>384</v>
      </c>
      <c r="F36" s="554">
        <f>'D&amp;A CAPEX'!G44</f>
        <v>3671950000</v>
      </c>
      <c r="G36" s="554">
        <f>G37</f>
        <v>0</v>
      </c>
      <c r="H36" s="554">
        <f t="shared" ref="H36:K36" si="11">H37</f>
        <v>0</v>
      </c>
      <c r="I36" s="554">
        <f t="shared" si="11"/>
        <v>0</v>
      </c>
      <c r="J36" s="554">
        <f t="shared" si="11"/>
        <v>0</v>
      </c>
      <c r="K36" s="554">
        <f t="shared" si="11"/>
        <v>0</v>
      </c>
      <c r="L36" s="554">
        <v>0</v>
      </c>
      <c r="M36" s="554">
        <v>0</v>
      </c>
      <c r="N36" s="554">
        <v>0</v>
      </c>
      <c r="O36" s="554">
        <v>0</v>
      </c>
    </row>
    <row r="37" spans="1:15">
      <c r="A37" s="480"/>
      <c r="B37" s="480"/>
      <c r="C37" s="486"/>
      <c r="D37" s="481"/>
      <c r="E37" s="481"/>
      <c r="F37" s="552"/>
      <c r="G37" s="552"/>
      <c r="H37" s="552"/>
      <c r="I37" s="552"/>
      <c r="J37" s="552"/>
      <c r="K37" s="552"/>
      <c r="L37" s="552"/>
      <c r="M37" s="552"/>
      <c r="N37" s="552"/>
      <c r="O37" s="552"/>
    </row>
    <row r="38" spans="1:15">
      <c r="A38" s="480"/>
      <c r="B38" s="480"/>
      <c r="C38" s="486" t="s">
        <v>15</v>
      </c>
      <c r="D38" s="480" t="s">
        <v>385</v>
      </c>
      <c r="E38" s="480" t="s">
        <v>366</v>
      </c>
      <c r="F38" s="552">
        <f t="shared" ref="F38:J38" si="12">SUM(F39:F40)</f>
        <v>0</v>
      </c>
      <c r="G38" s="552">
        <f t="shared" si="12"/>
        <v>0</v>
      </c>
      <c r="H38" s="552">
        <f t="shared" si="12"/>
        <v>0</v>
      </c>
      <c r="I38" s="552">
        <f t="shared" si="12"/>
        <v>0</v>
      </c>
      <c r="J38" s="552">
        <f t="shared" si="12"/>
        <v>0</v>
      </c>
      <c r="K38" s="552">
        <f t="shared" ref="K38" si="13">SUM(K39:K40)</f>
        <v>0</v>
      </c>
      <c r="L38" s="552">
        <f>SUM(L39:L40)</f>
        <v>0</v>
      </c>
      <c r="M38" s="552">
        <f>SUM(M39:M40)</f>
        <v>0</v>
      </c>
      <c r="N38" s="552">
        <f>SUM(N39:N40)</f>
        <v>0</v>
      </c>
      <c r="O38" s="552">
        <f>SUM(O39:O40)</f>
        <v>0</v>
      </c>
    </row>
    <row r="39" spans="1:15">
      <c r="A39" s="480"/>
      <c r="B39" s="480"/>
      <c r="C39" s="484" t="s">
        <v>3</v>
      </c>
      <c r="D39" s="480" t="s">
        <v>60</v>
      </c>
      <c r="E39" s="480" t="s">
        <v>233</v>
      </c>
      <c r="F39" s="552"/>
      <c r="G39" s="552"/>
      <c r="H39" s="552"/>
      <c r="I39" s="552"/>
      <c r="J39" s="552"/>
      <c r="K39" s="552"/>
      <c r="L39" s="552"/>
      <c r="M39" s="552"/>
      <c r="N39" s="552"/>
      <c r="O39" s="552"/>
    </row>
    <row r="40" spans="1:15">
      <c r="A40" s="480"/>
      <c r="B40" s="480"/>
      <c r="C40" s="484" t="s">
        <v>28</v>
      </c>
      <c r="D40" s="480" t="s">
        <v>73</v>
      </c>
      <c r="E40" s="480" t="s">
        <v>296</v>
      </c>
      <c r="F40" s="552">
        <f t="shared" ref="F40:J40" si="14">SUM(F41:F42)</f>
        <v>0</v>
      </c>
      <c r="G40" s="552">
        <f t="shared" si="14"/>
        <v>0</v>
      </c>
      <c r="H40" s="552">
        <f t="shared" si="14"/>
        <v>0</v>
      </c>
      <c r="I40" s="552">
        <f t="shared" si="14"/>
        <v>0</v>
      </c>
      <c r="J40" s="552">
        <f t="shared" si="14"/>
        <v>0</v>
      </c>
      <c r="K40" s="552">
        <f t="shared" ref="K40" si="15">SUM(K41:K42)</f>
        <v>0</v>
      </c>
      <c r="L40" s="552">
        <f>SUM(L41:L42)</f>
        <v>0</v>
      </c>
      <c r="M40" s="552">
        <f>SUM(M41:M42)</f>
        <v>0</v>
      </c>
      <c r="N40" s="552">
        <f>SUM(N41:N42)</f>
        <v>0</v>
      </c>
      <c r="O40" s="552">
        <f>SUM(O41:O42)</f>
        <v>0</v>
      </c>
    </row>
    <row r="41" spans="1:15">
      <c r="A41" s="480"/>
      <c r="B41" s="480"/>
      <c r="C41" s="484" t="s">
        <v>62</v>
      </c>
      <c r="D41" s="480" t="s">
        <v>386</v>
      </c>
      <c r="E41" s="480" t="s">
        <v>387</v>
      </c>
      <c r="F41" s="552"/>
      <c r="G41" s="552"/>
      <c r="H41" s="552"/>
      <c r="I41" s="552"/>
      <c r="J41" s="552"/>
      <c r="K41" s="552"/>
      <c r="L41" s="552"/>
      <c r="M41" s="552"/>
      <c r="N41" s="552"/>
      <c r="O41" s="552"/>
    </row>
    <row r="42" spans="1:15">
      <c r="A42" s="480"/>
      <c r="B42" s="480"/>
      <c r="C42" s="484" t="s">
        <v>62</v>
      </c>
      <c r="D42" s="480" t="s">
        <v>388</v>
      </c>
      <c r="E42" s="480" t="s">
        <v>389</v>
      </c>
      <c r="F42" s="552"/>
      <c r="G42" s="552"/>
      <c r="H42" s="552"/>
      <c r="I42" s="552"/>
      <c r="J42" s="552"/>
      <c r="K42" s="552"/>
      <c r="L42" s="552"/>
      <c r="M42" s="552"/>
      <c r="N42" s="552"/>
      <c r="O42" s="552"/>
    </row>
    <row r="43" spans="1:15">
      <c r="A43" s="480"/>
      <c r="B43" s="480"/>
      <c r="C43" s="486" t="s">
        <v>18</v>
      </c>
      <c r="D43" s="480" t="s">
        <v>390</v>
      </c>
      <c r="E43" s="480" t="s">
        <v>391</v>
      </c>
      <c r="F43" s="552"/>
      <c r="G43" s="552"/>
      <c r="H43" s="552"/>
      <c r="I43" s="552"/>
      <c r="J43" s="552"/>
      <c r="K43" s="552"/>
      <c r="L43" s="552"/>
      <c r="M43" s="552"/>
      <c r="N43" s="552"/>
      <c r="O43" s="552"/>
    </row>
    <row r="44" spans="1:15" s="5" customFormat="1" ht="15">
      <c r="A44" s="480"/>
      <c r="B44" s="480"/>
      <c r="C44" s="580" t="s">
        <v>44</v>
      </c>
      <c r="D44" s="568" t="s">
        <v>392</v>
      </c>
      <c r="E44" s="568" t="s">
        <v>393</v>
      </c>
      <c r="F44" s="569">
        <f t="shared" ref="F44:K44" si="16">F22-F34</f>
        <v>-3672050000</v>
      </c>
      <c r="G44" s="569">
        <f t="shared" si="16"/>
        <v>-75100000</v>
      </c>
      <c r="H44" s="569">
        <f t="shared" si="16"/>
        <v>-75100000</v>
      </c>
      <c r="I44" s="569">
        <f t="shared" si="16"/>
        <v>-75100000</v>
      </c>
      <c r="J44" s="569">
        <f t="shared" si="16"/>
        <v>-275100000</v>
      </c>
      <c r="K44" s="569">
        <f t="shared" si="16"/>
        <v>-475100000</v>
      </c>
      <c r="L44" s="569">
        <f>L22-L34</f>
        <v>-75100000</v>
      </c>
      <c r="M44" s="569">
        <f>M22-M34</f>
        <v>-75100000</v>
      </c>
      <c r="N44" s="569">
        <f>N22-N34</f>
        <v>-75100000</v>
      </c>
      <c r="O44" s="569">
        <f>O22-O34</f>
        <v>-75100000</v>
      </c>
    </row>
    <row r="45" spans="1:15" s="5" customFormat="1" ht="15">
      <c r="A45" s="480"/>
      <c r="B45" s="480"/>
      <c r="C45" s="501" t="s">
        <v>262</v>
      </c>
      <c r="D45" s="495" t="s">
        <v>394</v>
      </c>
      <c r="E45" s="495" t="s">
        <v>395</v>
      </c>
      <c r="F45" s="555"/>
      <c r="G45" s="555"/>
      <c r="H45" s="555"/>
      <c r="I45" s="555"/>
      <c r="J45" s="555"/>
      <c r="K45" s="555"/>
      <c r="L45" s="555"/>
      <c r="M45" s="555"/>
      <c r="N45" s="555"/>
      <c r="O45" s="555"/>
    </row>
    <row r="46" spans="1:15" s="5" customFormat="1" ht="15">
      <c r="A46" s="480"/>
      <c r="B46" s="480"/>
      <c r="C46" s="546" t="s">
        <v>6</v>
      </c>
      <c r="D46" s="504" t="s">
        <v>359</v>
      </c>
      <c r="E46" s="504" t="s">
        <v>360</v>
      </c>
      <c r="F46" s="551">
        <f>SUM(F47:F50)</f>
        <v>3884047346.6308756</v>
      </c>
      <c r="G46" s="551">
        <f t="shared" ref="G46:J46" si="17">SUM(G47:G50)</f>
        <v>0</v>
      </c>
      <c r="H46" s="551">
        <f t="shared" si="17"/>
        <v>0</v>
      </c>
      <c r="I46" s="551">
        <f t="shared" si="17"/>
        <v>0</v>
      </c>
      <c r="J46" s="551">
        <f t="shared" si="17"/>
        <v>0</v>
      </c>
      <c r="K46" s="551">
        <f t="shared" ref="K46" si="18">SUM(K47:K50)</f>
        <v>0</v>
      </c>
      <c r="L46" s="551">
        <f>SUM(L47:L50)</f>
        <v>0</v>
      </c>
      <c r="M46" s="551">
        <f>SUM(M47:M50)</f>
        <v>0</v>
      </c>
      <c r="N46" s="551">
        <f>SUM(N47:N50)</f>
        <v>0</v>
      </c>
      <c r="O46" s="551">
        <f>SUM(O47:O50)</f>
        <v>0</v>
      </c>
    </row>
    <row r="47" spans="1:15">
      <c r="A47" s="480"/>
      <c r="B47" s="480"/>
      <c r="C47" s="483" t="s">
        <v>9</v>
      </c>
      <c r="D47" s="480" t="s">
        <v>396</v>
      </c>
      <c r="E47" s="480" t="s">
        <v>397</v>
      </c>
      <c r="F47" s="554">
        <f>Assumptions!B73</f>
        <v>812047346.63087571</v>
      </c>
      <c r="G47" s="552"/>
      <c r="H47" s="552"/>
      <c r="I47" s="552"/>
      <c r="J47" s="552"/>
      <c r="K47" s="552"/>
      <c r="L47" s="552"/>
      <c r="M47" s="552"/>
      <c r="N47" s="552"/>
      <c r="O47" s="552"/>
    </row>
    <row r="48" spans="1:15">
      <c r="A48" s="480"/>
      <c r="B48" s="480"/>
      <c r="C48" s="483" t="s">
        <v>12</v>
      </c>
      <c r="D48" s="480" t="s">
        <v>398</v>
      </c>
      <c r="E48" s="480" t="s">
        <v>399</v>
      </c>
      <c r="F48" s="554">
        <f>Leasing!B3</f>
        <v>3072000000</v>
      </c>
      <c r="G48" s="552"/>
      <c r="H48" s="552"/>
      <c r="I48" s="552"/>
      <c r="J48" s="552"/>
      <c r="K48" s="552"/>
      <c r="L48" s="552"/>
      <c r="M48" s="552"/>
      <c r="N48" s="552"/>
      <c r="O48" s="552"/>
    </row>
    <row r="49" spans="1:15">
      <c r="A49" s="480"/>
      <c r="B49" s="480"/>
      <c r="C49" s="483" t="s">
        <v>15</v>
      </c>
      <c r="D49" s="480" t="s">
        <v>400</v>
      </c>
      <c r="E49" s="480" t="s">
        <v>401</v>
      </c>
      <c r="F49" s="552">
        <v>0</v>
      </c>
      <c r="G49" s="552"/>
      <c r="H49" s="552"/>
      <c r="I49" s="552"/>
      <c r="J49" s="552"/>
      <c r="K49" s="552"/>
      <c r="L49" s="552"/>
      <c r="M49" s="552"/>
      <c r="N49" s="552"/>
      <c r="O49" s="552"/>
    </row>
    <row r="50" spans="1:15">
      <c r="A50" s="480"/>
      <c r="B50" s="480"/>
      <c r="C50" s="486" t="s">
        <v>18</v>
      </c>
      <c r="D50" s="480" t="s">
        <v>402</v>
      </c>
      <c r="E50" s="480" t="s">
        <v>403</v>
      </c>
      <c r="F50" s="552"/>
      <c r="G50" s="552"/>
      <c r="H50" s="552"/>
      <c r="I50" s="552"/>
      <c r="J50" s="552"/>
      <c r="K50" s="552"/>
      <c r="L50" s="552"/>
      <c r="M50" s="552"/>
      <c r="N50" s="552"/>
      <c r="O50" s="552"/>
    </row>
    <row r="51" spans="1:15" s="5" customFormat="1" ht="15">
      <c r="A51" s="480"/>
      <c r="B51" s="480"/>
      <c r="C51" s="546" t="s">
        <v>21</v>
      </c>
      <c r="D51" s="504" t="s">
        <v>379</v>
      </c>
      <c r="E51" s="504" t="s">
        <v>380</v>
      </c>
      <c r="F51" s="551">
        <f t="shared" ref="F51:J51" si="19">SUM(F52:F60)</f>
        <v>0</v>
      </c>
      <c r="G51" s="551">
        <f t="shared" si="19"/>
        <v>525653333.33333331</v>
      </c>
      <c r="H51" s="551">
        <f t="shared" si="19"/>
        <v>505173333.33333325</v>
      </c>
      <c r="I51" s="551">
        <f t="shared" si="19"/>
        <v>484693333.33333325</v>
      </c>
      <c r="J51" s="551">
        <f t="shared" si="19"/>
        <v>464213333.33333331</v>
      </c>
      <c r="K51" s="551">
        <f t="shared" ref="K51" si="20">SUM(K52:K60)</f>
        <v>443733333.33333331</v>
      </c>
      <c r="L51" s="551">
        <f>SUM(L52:L60)</f>
        <v>423253333.33333331</v>
      </c>
      <c r="M51" s="551">
        <f>SUM(M52:M60)</f>
        <v>402773333.33333331</v>
      </c>
      <c r="N51" s="551">
        <f>SUM(N52:N60)</f>
        <v>382293333.33333331</v>
      </c>
      <c r="O51" s="551">
        <f>SUM(O52:O60)</f>
        <v>361813333.33333331</v>
      </c>
    </row>
    <row r="52" spans="1:15">
      <c r="A52" s="480"/>
      <c r="B52" s="480"/>
      <c r="C52" s="483" t="s">
        <v>9</v>
      </c>
      <c r="D52" s="480" t="s">
        <v>404</v>
      </c>
      <c r="E52" s="480" t="s">
        <v>405</v>
      </c>
      <c r="F52" s="552"/>
      <c r="G52" s="552"/>
      <c r="H52" s="552"/>
      <c r="I52" s="552"/>
      <c r="J52" s="552"/>
      <c r="K52" s="552"/>
      <c r="L52" s="552"/>
      <c r="M52" s="552"/>
      <c r="N52" s="552"/>
      <c r="O52" s="552"/>
    </row>
    <row r="53" spans="1:15">
      <c r="A53" s="480"/>
      <c r="B53" s="480"/>
      <c r="C53" s="483" t="s">
        <v>12</v>
      </c>
      <c r="D53" s="480" t="s">
        <v>406</v>
      </c>
      <c r="E53" s="480" t="s">
        <v>291</v>
      </c>
      <c r="F53" s="552"/>
      <c r="G53" s="552"/>
      <c r="H53" s="552"/>
      <c r="I53" s="552"/>
      <c r="J53" s="552"/>
      <c r="K53" s="552"/>
      <c r="L53" s="552"/>
      <c r="M53" s="552"/>
      <c r="N53" s="552"/>
      <c r="O53" s="552"/>
    </row>
    <row r="54" spans="1:15">
      <c r="A54" s="480"/>
      <c r="B54" s="480"/>
      <c r="C54" s="483" t="s">
        <v>15</v>
      </c>
      <c r="D54" s="480" t="s">
        <v>407</v>
      </c>
      <c r="E54" s="480" t="s">
        <v>408</v>
      </c>
      <c r="F54" s="552"/>
      <c r="G54" s="552"/>
      <c r="H54" s="552"/>
      <c r="I54" s="552"/>
      <c r="J54" s="552"/>
      <c r="K54" s="552"/>
      <c r="L54" s="552"/>
      <c r="M54" s="552"/>
      <c r="N54" s="552"/>
      <c r="O54" s="552"/>
    </row>
    <row r="55" spans="1:15">
      <c r="A55" s="480"/>
      <c r="B55" s="480"/>
      <c r="C55" s="483" t="s">
        <v>18</v>
      </c>
      <c r="D55" s="480" t="s">
        <v>409</v>
      </c>
      <c r="E55" s="480" t="s">
        <v>410</v>
      </c>
      <c r="F55" s="554">
        <f>Financing!E14</f>
        <v>0</v>
      </c>
      <c r="G55" s="554">
        <f>Financing!I14</f>
        <v>341333333.33333331</v>
      </c>
      <c r="H55" s="554">
        <f>Financing!M14</f>
        <v>341333333.33333331</v>
      </c>
      <c r="I55" s="554">
        <f>Financing!Q14</f>
        <v>341333333.33333331</v>
      </c>
      <c r="J55" s="554">
        <f>Financing!U14</f>
        <v>341333333.33333331</v>
      </c>
      <c r="K55" s="554">
        <f>Financing!Y14</f>
        <v>341333333.33333331</v>
      </c>
      <c r="L55" s="554">
        <f>Financing!AC14</f>
        <v>341333333.33333331</v>
      </c>
      <c r="M55" s="554">
        <f>Financing!AG14</f>
        <v>341333333.33333331</v>
      </c>
      <c r="N55" s="554">
        <f>Financing!AK14</f>
        <v>341333333.33333331</v>
      </c>
      <c r="O55" s="554">
        <f>Financing!AO14</f>
        <v>341333333.33333331</v>
      </c>
    </row>
    <row r="56" spans="1:15">
      <c r="A56" s="480"/>
      <c r="B56" s="480"/>
      <c r="C56" s="483" t="s">
        <v>96</v>
      </c>
      <c r="D56" s="480" t="s">
        <v>411</v>
      </c>
      <c r="E56" s="480" t="s">
        <v>412</v>
      </c>
      <c r="F56" s="552"/>
      <c r="G56" s="552"/>
      <c r="H56" s="552"/>
      <c r="I56" s="552"/>
      <c r="J56" s="552">
        <v>0</v>
      </c>
      <c r="K56" s="552">
        <v>0</v>
      </c>
      <c r="L56" s="552"/>
      <c r="M56" s="552"/>
      <c r="N56" s="552"/>
      <c r="O56" s="552"/>
    </row>
    <row r="57" spans="1:15">
      <c r="A57" s="480"/>
      <c r="B57" s="480"/>
      <c r="C57" s="483" t="s">
        <v>340</v>
      </c>
      <c r="D57" s="480" t="s">
        <v>413</v>
      </c>
      <c r="E57" s="480" t="s">
        <v>414</v>
      </c>
      <c r="F57" s="552"/>
      <c r="G57" s="552"/>
      <c r="H57" s="552"/>
      <c r="I57" s="552"/>
      <c r="J57" s="552"/>
      <c r="K57" s="552"/>
      <c r="L57" s="552"/>
      <c r="M57" s="552"/>
      <c r="N57" s="552"/>
      <c r="O57" s="552"/>
    </row>
    <row r="58" spans="1:15">
      <c r="A58" s="480"/>
      <c r="B58" s="480"/>
      <c r="C58" s="483" t="s">
        <v>343</v>
      </c>
      <c r="D58" s="480" t="s">
        <v>415</v>
      </c>
      <c r="E58" s="480" t="s">
        <v>416</v>
      </c>
      <c r="F58" s="552"/>
      <c r="G58" s="552"/>
      <c r="H58" s="552"/>
      <c r="I58" s="552"/>
      <c r="J58" s="552"/>
      <c r="K58" s="552"/>
      <c r="L58" s="552"/>
      <c r="M58" s="552"/>
      <c r="N58" s="552"/>
      <c r="O58" s="552"/>
    </row>
    <row r="59" spans="1:15">
      <c r="A59" s="480"/>
      <c r="B59" s="480"/>
      <c r="C59" s="483" t="s">
        <v>346</v>
      </c>
      <c r="D59" s="480" t="s">
        <v>417</v>
      </c>
      <c r="E59" s="480" t="s">
        <v>298</v>
      </c>
      <c r="F59" s="554">
        <f>'P&amp;L'!F53</f>
        <v>0</v>
      </c>
      <c r="G59" s="554">
        <f>'P&amp;L'!G53</f>
        <v>184320000</v>
      </c>
      <c r="H59" s="554">
        <f>'P&amp;L'!H53</f>
        <v>163839999.99999997</v>
      </c>
      <c r="I59" s="554">
        <f>'P&amp;L'!I53</f>
        <v>143359999.99999997</v>
      </c>
      <c r="J59" s="554">
        <f>'P&amp;L'!J53</f>
        <v>122879999.99999999</v>
      </c>
      <c r="K59" s="554">
        <f>'P&amp;L'!K53</f>
        <v>102399999.99999999</v>
      </c>
      <c r="L59" s="554">
        <f>'P&amp;L'!L53</f>
        <v>81919999.999999985</v>
      </c>
      <c r="M59" s="554">
        <f>'P&amp;L'!M53</f>
        <v>61440000</v>
      </c>
      <c r="N59" s="554">
        <f>'P&amp;L'!N53</f>
        <v>40960000</v>
      </c>
      <c r="O59" s="554">
        <f>'P&amp;L'!O53</f>
        <v>20480000.000000004</v>
      </c>
    </row>
    <row r="60" spans="1:15">
      <c r="A60" s="480"/>
      <c r="B60" s="480"/>
      <c r="C60" s="486" t="s">
        <v>349</v>
      </c>
      <c r="D60" s="480" t="s">
        <v>418</v>
      </c>
      <c r="E60" s="480" t="s">
        <v>419</v>
      </c>
      <c r="F60" s="552"/>
      <c r="G60" s="552"/>
      <c r="H60" s="552"/>
      <c r="I60" s="552"/>
      <c r="J60" s="552"/>
      <c r="K60" s="552"/>
      <c r="L60" s="552"/>
      <c r="M60" s="552"/>
      <c r="N60" s="552"/>
      <c r="O60" s="552"/>
    </row>
    <row r="61" spans="1:15">
      <c r="A61" s="480"/>
      <c r="B61" s="480"/>
      <c r="C61" s="570" t="s">
        <v>44</v>
      </c>
      <c r="D61" s="547" t="s">
        <v>420</v>
      </c>
      <c r="E61" s="547" t="s">
        <v>421</v>
      </c>
      <c r="F61" s="567">
        <f t="shared" ref="F61:J61" si="21">F46-F51</f>
        <v>3884047346.6308756</v>
      </c>
      <c r="G61" s="567">
        <f>G46-G51</f>
        <v>-525653333.33333331</v>
      </c>
      <c r="H61" s="567">
        <f t="shared" si="21"/>
        <v>-505173333.33333325</v>
      </c>
      <c r="I61" s="567">
        <f t="shared" si="21"/>
        <v>-484693333.33333325</v>
      </c>
      <c r="J61" s="567">
        <f t="shared" si="21"/>
        <v>-464213333.33333331</v>
      </c>
      <c r="K61" s="567">
        <f t="shared" ref="K61" si="22">K46-K51</f>
        <v>-443733333.33333331</v>
      </c>
      <c r="L61" s="567">
        <f>L46-L51</f>
        <v>-423253333.33333331</v>
      </c>
      <c r="M61" s="567">
        <f>M46-M51</f>
        <v>-402773333.33333331</v>
      </c>
      <c r="N61" s="567">
        <f>N46-N51</f>
        <v>-382293333.33333331</v>
      </c>
      <c r="O61" s="567">
        <f>O46-O51</f>
        <v>-361813333.33333331</v>
      </c>
    </row>
    <row r="62" spans="1:15">
      <c r="A62" s="480"/>
      <c r="B62" s="480"/>
      <c r="C62" s="568" t="s">
        <v>265</v>
      </c>
      <c r="D62" s="568" t="s">
        <v>422</v>
      </c>
      <c r="E62" s="568" t="s">
        <v>423</v>
      </c>
      <c r="F62" s="569">
        <f>F20+F44+F61</f>
        <v>208891675.39799881</v>
      </c>
      <c r="G62" s="569">
        <f t="shared" ref="F62:K62" si="23">G20+G44+G61</f>
        <v>-15832538.90867573</v>
      </c>
      <c r="H62" s="569">
        <f t="shared" si="23"/>
        <v>26425857.96837914</v>
      </c>
      <c r="I62" s="569">
        <f t="shared" si="23"/>
        <v>128945074.48466849</v>
      </c>
      <c r="J62" s="569">
        <f t="shared" si="23"/>
        <v>-46704334.242069304</v>
      </c>
      <c r="K62" s="569">
        <f t="shared" si="23"/>
        <v>-263056813.43216461</v>
      </c>
      <c r="L62" s="569">
        <f>L20+L44+L61</f>
        <v>157036916.67284316</v>
      </c>
      <c r="M62" s="569">
        <f>M20+M44+M61</f>
        <v>147963777.01001006</v>
      </c>
      <c r="N62" s="569">
        <f>N20+N44+N61</f>
        <v>152948757.53354329</v>
      </c>
      <c r="O62" s="569">
        <f>O20+O44+O61</f>
        <v>159291341.63330692</v>
      </c>
    </row>
    <row r="63" spans="1:15">
      <c r="A63" s="480"/>
      <c r="B63" s="480"/>
      <c r="C63" s="504" t="s">
        <v>275</v>
      </c>
      <c r="D63" s="504" t="s">
        <v>424</v>
      </c>
      <c r="E63" s="504" t="s">
        <v>425</v>
      </c>
      <c r="F63" s="551"/>
      <c r="G63" s="551"/>
      <c r="H63" s="551"/>
      <c r="I63" s="551"/>
      <c r="J63" s="551"/>
      <c r="K63" s="551"/>
      <c r="L63" s="551"/>
      <c r="M63" s="551"/>
      <c r="N63" s="551"/>
      <c r="O63" s="551"/>
    </row>
    <row r="64" spans="1:15">
      <c r="A64" s="480"/>
      <c r="B64" s="480"/>
      <c r="C64" s="484" t="s">
        <v>62</v>
      </c>
      <c r="D64" s="480" t="s">
        <v>426</v>
      </c>
      <c r="E64" s="480" t="s">
        <v>427</v>
      </c>
      <c r="F64" s="552"/>
      <c r="G64" s="552"/>
      <c r="H64" s="552"/>
      <c r="I64" s="552"/>
      <c r="J64" s="552"/>
      <c r="K64" s="552"/>
      <c r="L64" s="552"/>
      <c r="M64" s="552"/>
      <c r="N64" s="552"/>
      <c r="O64" s="552"/>
    </row>
    <row r="65" spans="1:15">
      <c r="A65" s="480"/>
      <c r="B65" s="480"/>
      <c r="C65" s="504" t="s">
        <v>282</v>
      </c>
      <c r="D65" s="504" t="s">
        <v>428</v>
      </c>
      <c r="E65" s="504" t="s">
        <v>429</v>
      </c>
      <c r="F65" s="551">
        <v>0</v>
      </c>
      <c r="G65" s="578">
        <f>BS!F87</f>
        <v>208891675.39799881</v>
      </c>
      <c r="H65" s="578">
        <f>BS!G87</f>
        <v>193059136.48932308</v>
      </c>
      <c r="I65" s="578">
        <f>BS!H87</f>
        <v>219484994.45770222</v>
      </c>
      <c r="J65" s="578">
        <f>BS!I87</f>
        <v>348430068.94237071</v>
      </c>
      <c r="K65" s="578">
        <f>BS!J87</f>
        <v>301725734.70030141</v>
      </c>
      <c r="L65" s="578">
        <f>BS!K87</f>
        <v>38668921.268136799</v>
      </c>
      <c r="M65" s="578">
        <f>BS!L87</f>
        <v>195705837.94097996</v>
      </c>
      <c r="N65" s="578">
        <f>BS!M87</f>
        <v>343669614.95099002</v>
      </c>
      <c r="O65" s="578">
        <f>BS!N87</f>
        <v>496618372.48453331</v>
      </c>
    </row>
    <row r="66" spans="1:15" ht="15" thickBot="1">
      <c r="A66" s="480"/>
      <c r="B66" s="480"/>
      <c r="C66" s="506" t="s">
        <v>287</v>
      </c>
      <c r="D66" s="506" t="s">
        <v>430</v>
      </c>
      <c r="E66" s="506" t="s">
        <v>431</v>
      </c>
      <c r="F66" s="573">
        <f t="shared" ref="F66:J66" si="24">F62+F65</f>
        <v>208891675.39799881</v>
      </c>
      <c r="G66" s="573">
        <f t="shared" si="24"/>
        <v>193059136.48932308</v>
      </c>
      <c r="H66" s="573">
        <f t="shared" si="24"/>
        <v>219484994.45770222</v>
      </c>
      <c r="I66" s="573">
        <f t="shared" si="24"/>
        <v>348430068.94237071</v>
      </c>
      <c r="J66" s="573">
        <f t="shared" si="24"/>
        <v>301725734.70030141</v>
      </c>
      <c r="K66" s="573">
        <f t="shared" ref="K66" si="25">K62+K65</f>
        <v>38668921.268136799</v>
      </c>
      <c r="L66" s="573">
        <f>L62+L65</f>
        <v>195705837.94097996</v>
      </c>
      <c r="M66" s="573">
        <f>M62+M65</f>
        <v>343669614.95099002</v>
      </c>
      <c r="N66" s="573">
        <f>N62+N65</f>
        <v>496618372.48453331</v>
      </c>
      <c r="O66" s="573">
        <f>O62+O65</f>
        <v>655909714.11784029</v>
      </c>
    </row>
    <row r="67" spans="1:15" ht="15" thickTop="1">
      <c r="A67" s="480"/>
      <c r="B67" s="480"/>
      <c r="C67" s="581" t="s">
        <v>62</v>
      </c>
      <c r="D67" s="582" t="s">
        <v>432</v>
      </c>
      <c r="E67" s="582" t="s">
        <v>599</v>
      </c>
      <c r="F67" s="583">
        <f>F66/12</f>
        <v>17407639.616499901</v>
      </c>
      <c r="G67" s="583">
        <f>G66/12</f>
        <v>16088261.374110257</v>
      </c>
      <c r="H67" s="583">
        <f t="shared" ref="H67:K67" si="26">H66/12</f>
        <v>18290416.204808518</v>
      </c>
      <c r="I67" s="583">
        <f t="shared" si="26"/>
        <v>29035839.078530893</v>
      </c>
      <c r="J67" s="583">
        <f t="shared" si="26"/>
        <v>25143811.225025117</v>
      </c>
      <c r="K67" s="583">
        <f t="shared" si="26"/>
        <v>3222410.1056780666</v>
      </c>
      <c r="L67" s="583">
        <f>L66/12</f>
        <v>16308819.828414997</v>
      </c>
      <c r="M67" s="583">
        <f>M66/12</f>
        <v>28639134.57924917</v>
      </c>
      <c r="N67" s="583">
        <f>N66/12</f>
        <v>41384864.373711109</v>
      </c>
      <c r="O67" s="583">
        <f>O66/12</f>
        <v>54659142.843153358</v>
      </c>
    </row>
    <row r="68" spans="1:15">
      <c r="A68" s="480"/>
      <c r="B68" s="480"/>
      <c r="C68" s="480"/>
      <c r="D68" s="480"/>
      <c r="E68" s="480" t="s">
        <v>600</v>
      </c>
      <c r="F68" s="577" t="s">
        <v>635</v>
      </c>
      <c r="G68" s="577"/>
      <c r="H68" s="577"/>
      <c r="I68" s="577"/>
      <c r="J68" s="577"/>
      <c r="K68" s="577"/>
      <c r="L68" s="577"/>
      <c r="M68" s="577"/>
      <c r="N68" s="577"/>
      <c r="O68" s="577"/>
    </row>
    <row r="69" spans="1:15">
      <c r="A69" s="480"/>
      <c r="B69" s="480"/>
      <c r="C69" s="480"/>
      <c r="D69" s="480"/>
      <c r="E69" s="480"/>
      <c r="F69" s="575"/>
      <c r="G69" s="481"/>
      <c r="H69" s="481"/>
      <c r="I69" s="481"/>
      <c r="J69" s="481"/>
      <c r="K69" s="481"/>
      <c r="L69" s="481"/>
      <c r="M69" s="481"/>
      <c r="N69" s="481"/>
      <c r="O69" s="481"/>
    </row>
    <row r="70" spans="1:15">
      <c r="A70" s="480"/>
      <c r="B70" s="480"/>
      <c r="C70" s="480"/>
      <c r="D70" s="480"/>
      <c r="E70" s="480"/>
      <c r="F70" s="576"/>
      <c r="G70" s="576"/>
      <c r="H70" s="576"/>
      <c r="I70" s="576"/>
      <c r="J70" s="576"/>
      <c r="K70" s="576"/>
      <c r="L70" s="576"/>
      <c r="M70" s="576"/>
      <c r="N70" s="576"/>
      <c r="O70" s="576"/>
    </row>
    <row r="71" spans="1:15">
      <c r="A71" s="360" t="s">
        <v>1638</v>
      </c>
    </row>
    <row r="72" spans="1:15">
      <c r="A72" s="454" t="s">
        <v>1639</v>
      </c>
    </row>
    <row r="73" spans="1:15">
      <c r="A73" s="456" t="s">
        <v>576</v>
      </c>
      <c r="F73" s="457">
        <v>2026</v>
      </c>
      <c r="G73" s="457">
        <v>2027</v>
      </c>
      <c r="H73" s="457">
        <v>2028</v>
      </c>
      <c r="I73" s="457">
        <v>2029</v>
      </c>
      <c r="J73" s="457">
        <v>2030</v>
      </c>
      <c r="K73" s="457">
        <v>2031</v>
      </c>
      <c r="L73" s="457">
        <v>2032</v>
      </c>
      <c r="M73" s="457">
        <v>2033</v>
      </c>
      <c r="N73" s="457">
        <v>2034</v>
      </c>
      <c r="O73" s="457">
        <v>2035</v>
      </c>
    </row>
    <row r="74" spans="1:15">
      <c r="A74" s="455" t="s">
        <v>1635</v>
      </c>
      <c r="F74" s="458">
        <f>F20</f>
        <v>-3105671.2328767125</v>
      </c>
      <c r="G74" s="458">
        <f>G20</f>
        <v>584920794.42465758</v>
      </c>
      <c r="H74" s="458">
        <f>H20</f>
        <v>606699191.30171239</v>
      </c>
      <c r="I74" s="458">
        <f>I20</f>
        <v>688738407.81800175</v>
      </c>
      <c r="J74" s="458">
        <f>J20</f>
        <v>692608999.09126401</v>
      </c>
      <c r="K74" s="458">
        <f>K20</f>
        <v>655776519.9011687</v>
      </c>
      <c r="L74" s="458">
        <f>L20</f>
        <v>655390250.00617647</v>
      </c>
      <c r="M74" s="458">
        <f>M20</f>
        <v>625837110.34334338</v>
      </c>
      <c r="N74" s="458">
        <f>N20</f>
        <v>610342090.8668766</v>
      </c>
      <c r="O74" s="458">
        <f>O20</f>
        <v>596204674.96664023</v>
      </c>
    </row>
    <row r="75" spans="1:15">
      <c r="A75" s="455" t="s">
        <v>1636</v>
      </c>
      <c r="F75" s="458">
        <f>F44</f>
        <v>-3672050000</v>
      </c>
      <c r="G75" s="458">
        <f>G44</f>
        <v>-75100000</v>
      </c>
      <c r="H75" s="458">
        <f>H44</f>
        <v>-75100000</v>
      </c>
      <c r="I75" s="458">
        <f>I44</f>
        <v>-75100000</v>
      </c>
      <c r="J75" s="458">
        <f>J44</f>
        <v>-275100000</v>
      </c>
      <c r="K75" s="458">
        <f>K44</f>
        <v>-475100000</v>
      </c>
      <c r="L75" s="458">
        <f>L44</f>
        <v>-75100000</v>
      </c>
      <c r="M75" s="458">
        <f>M44</f>
        <v>-75100000</v>
      </c>
      <c r="N75" s="458">
        <f>N44</f>
        <v>-75100000</v>
      </c>
      <c r="O75" s="458">
        <f>O44</f>
        <v>-75100000</v>
      </c>
    </row>
    <row r="76" spans="1:15">
      <c r="A76" s="455" t="s">
        <v>1637</v>
      </c>
      <c r="F76" s="458">
        <f>F48-F51</f>
        <v>3072000000</v>
      </c>
      <c r="G76" s="458">
        <f>G48-G51</f>
        <v>-525653333.33333331</v>
      </c>
      <c r="H76" s="458">
        <f>H48-H51</f>
        <v>-505173333.33333325</v>
      </c>
      <c r="I76" s="458">
        <f>I48-I51</f>
        <v>-484693333.33333325</v>
      </c>
      <c r="J76" s="458">
        <f>J48-J51</f>
        <v>-464213333.33333331</v>
      </c>
      <c r="K76" s="458">
        <f>K48-K51</f>
        <v>-443733333.33333331</v>
      </c>
      <c r="L76" s="458">
        <f>L48-L51</f>
        <v>-423253333.33333331</v>
      </c>
      <c r="M76" s="458">
        <f>M48-M51</f>
        <v>-402773333.33333331</v>
      </c>
      <c r="N76" s="458">
        <f>N48-N51</f>
        <v>-382293333.33333331</v>
      </c>
      <c r="O76" s="458">
        <f>O48-O51</f>
        <v>-361813333.33333331</v>
      </c>
    </row>
    <row r="77" spans="1:15">
      <c r="A77" s="456" t="s">
        <v>1630</v>
      </c>
      <c r="F77" s="460">
        <f>SUM(F74:F76)</f>
        <v>-603155671.23287678</v>
      </c>
      <c r="G77" s="460">
        <f>SUM(G74:G76)</f>
        <v>-15832538.90867573</v>
      </c>
      <c r="H77" s="460">
        <f>SUM(H74:H76)</f>
        <v>26425857.96837914</v>
      </c>
      <c r="I77" s="460">
        <f>SUM(I74:I76)</f>
        <v>128945074.48466849</v>
      </c>
      <c r="J77" s="460">
        <f>SUM(J74:J76)</f>
        <v>-46704334.242069304</v>
      </c>
      <c r="K77" s="460">
        <f>SUM(K74:K76)</f>
        <v>-263056813.43216461</v>
      </c>
      <c r="L77" s="460">
        <f>SUM(L74:L76)</f>
        <v>157036916.67284316</v>
      </c>
      <c r="M77" s="460">
        <f>SUM(M74:M76)</f>
        <v>147963777.01001006</v>
      </c>
      <c r="N77" s="460">
        <f>SUM(N74:N76)</f>
        <v>152948757.53354329</v>
      </c>
      <c r="O77" s="460">
        <f>SUM(O74:O76)</f>
        <v>159291341.63330692</v>
      </c>
    </row>
    <row r="78" spans="1:15">
      <c r="A78" s="456" t="s">
        <v>1631</v>
      </c>
      <c r="F78" s="459">
        <f>F77</f>
        <v>-603155671.23287678</v>
      </c>
      <c r="G78" s="459">
        <f>F78+G77</f>
        <v>-618988210.14155245</v>
      </c>
      <c r="H78" s="459">
        <f>G78+H77</f>
        <v>-592562352.17317331</v>
      </c>
      <c r="I78" s="459">
        <f>H78+I77</f>
        <v>-463617277.68850482</v>
      </c>
      <c r="J78" s="459">
        <f>I78+J77</f>
        <v>-510321611.93057412</v>
      </c>
      <c r="K78" s="459">
        <f>J78+K77</f>
        <v>-773378425.36273873</v>
      </c>
      <c r="L78" s="459">
        <f>K78+L77</f>
        <v>-616341508.68989563</v>
      </c>
      <c r="M78" s="459">
        <f>L78+M77</f>
        <v>-468377731.67988557</v>
      </c>
      <c r="N78" s="459">
        <f>M78+N77</f>
        <v>-315428974.14634228</v>
      </c>
      <c r="O78" s="459">
        <f>N78+O77</f>
        <v>-156137632.51303536</v>
      </c>
    </row>
    <row r="79" spans="1:15">
      <c r="A79" s="456" t="s">
        <v>1632</v>
      </c>
      <c r="F79" s="461">
        <f>-MIN(F78:O78)*1.05</f>
        <v>812047346.63087571</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tabColor theme="6"/>
  </sheetPr>
  <dimension ref="A1:O42"/>
  <sheetViews>
    <sheetView showGridLines="0" zoomScale="115" zoomScaleNormal="115" workbookViewId="0">
      <selection activeCell="C30" sqref="C30:L30"/>
    </sheetView>
  </sheetViews>
  <sheetFormatPr defaultRowHeight="14.25" outlineLevelRow="1"/>
  <cols>
    <col min="1" max="2" width="2.5" customWidth="1"/>
    <col min="3" max="3" width="5.625" customWidth="1"/>
    <col min="4" max="4" width="50.625" style="1" hidden="1" customWidth="1"/>
    <col min="5" max="5" width="50.625" style="1" customWidth="1"/>
    <col min="6" max="6" width="15.75" style="1" bestFit="1" customWidth="1"/>
    <col min="7" max="15" width="12.625" style="1" customWidth="1"/>
  </cols>
  <sheetData>
    <row r="1" spans="1:15" ht="10.5" customHeight="1">
      <c r="A1" s="476"/>
      <c r="B1" s="476"/>
      <c r="C1" s="476"/>
      <c r="D1" s="476"/>
      <c r="E1" s="476"/>
      <c r="F1" s="476"/>
      <c r="G1" s="476"/>
      <c r="H1" s="476"/>
      <c r="I1" s="476"/>
      <c r="J1" s="476"/>
      <c r="K1" s="476"/>
      <c r="L1" s="476"/>
      <c r="M1" s="476"/>
      <c r="N1" s="476"/>
      <c r="O1" s="476"/>
    </row>
    <row r="2" spans="1:15" ht="10.5" customHeight="1">
      <c r="A2" s="476"/>
      <c r="B2" s="476"/>
      <c r="C2" s="476"/>
      <c r="D2" s="476"/>
      <c r="E2" s="476"/>
      <c r="F2" s="481"/>
      <c r="G2" s="481"/>
      <c r="H2" s="481"/>
      <c r="I2" s="481"/>
      <c r="J2" s="481"/>
      <c r="K2" s="481"/>
      <c r="L2" s="481"/>
      <c r="M2" s="481"/>
      <c r="N2" s="481"/>
      <c r="O2" s="481"/>
    </row>
    <row r="3" spans="1:15">
      <c r="A3" s="476"/>
      <c r="B3" s="476"/>
      <c r="C3" s="476"/>
      <c r="D3" s="476"/>
      <c r="E3" s="476"/>
      <c r="F3" s="481"/>
      <c r="G3" s="487"/>
      <c r="H3" s="481"/>
      <c r="I3" s="481"/>
      <c r="J3" s="481"/>
      <c r="K3" s="481"/>
      <c r="L3" s="481"/>
      <c r="M3" s="481"/>
      <c r="N3" s="481"/>
      <c r="O3" s="481"/>
    </row>
    <row r="4" spans="1:15">
      <c r="A4" s="586"/>
      <c r="B4" s="586"/>
      <c r="C4" s="586"/>
      <c r="D4" s="587" t="s">
        <v>433</v>
      </c>
      <c r="E4" s="587" t="s">
        <v>434</v>
      </c>
      <c r="F4" s="490"/>
      <c r="G4" s="491"/>
      <c r="H4" s="490"/>
      <c r="I4" s="490"/>
      <c r="J4" s="490"/>
      <c r="K4" s="490"/>
      <c r="L4" s="490"/>
      <c r="M4" s="490"/>
      <c r="N4" s="490"/>
      <c r="O4" s="490"/>
    </row>
    <row r="5" spans="1:15">
      <c r="A5" s="476"/>
      <c r="B5" s="476"/>
      <c r="C5" s="476"/>
      <c r="D5" s="476"/>
      <c r="E5" s="476"/>
      <c r="F5" s="476"/>
      <c r="G5" s="476"/>
      <c r="H5" s="476"/>
      <c r="I5" s="476"/>
      <c r="J5" s="476"/>
      <c r="K5" s="476"/>
      <c r="L5" s="476"/>
      <c r="M5" s="476"/>
      <c r="N5" s="476"/>
      <c r="O5" s="476"/>
    </row>
    <row r="6" spans="1:15">
      <c r="A6" s="476"/>
      <c r="B6" s="476"/>
      <c r="C6" s="476"/>
      <c r="D6" s="498" t="s">
        <v>435</v>
      </c>
      <c r="E6" s="498" t="s">
        <v>436</v>
      </c>
      <c r="F6" s="499">
        <v>2026</v>
      </c>
      <c r="G6" s="499">
        <f t="shared" ref="G6:K6" si="0">F6+1</f>
        <v>2027</v>
      </c>
      <c r="H6" s="499">
        <f t="shared" si="0"/>
        <v>2028</v>
      </c>
      <c r="I6" s="499">
        <f t="shared" si="0"/>
        <v>2029</v>
      </c>
      <c r="J6" s="499">
        <f t="shared" si="0"/>
        <v>2030</v>
      </c>
      <c r="K6" s="499">
        <f t="shared" si="0"/>
        <v>2031</v>
      </c>
      <c r="L6" s="499">
        <f>K6+1</f>
        <v>2032</v>
      </c>
      <c r="M6" s="499">
        <f>L6+1</f>
        <v>2033</v>
      </c>
      <c r="N6" s="499">
        <f>M6+1</f>
        <v>2034</v>
      </c>
      <c r="O6" s="499">
        <f>N6+1</f>
        <v>2035</v>
      </c>
    </row>
    <row r="7" spans="1:15">
      <c r="A7" s="476"/>
      <c r="B7" s="476"/>
      <c r="C7" s="476"/>
      <c r="D7" s="495" t="s">
        <v>226</v>
      </c>
      <c r="E7" s="495" t="s">
        <v>227</v>
      </c>
      <c r="F7" s="496"/>
      <c r="G7" s="496"/>
      <c r="H7" s="496"/>
      <c r="I7" s="496"/>
      <c r="J7" s="496"/>
      <c r="K7" s="496"/>
      <c r="L7" s="496"/>
      <c r="M7" s="496"/>
      <c r="N7" s="496"/>
      <c r="O7" s="496"/>
    </row>
    <row r="8" spans="1:15">
      <c r="A8" s="476"/>
      <c r="B8" s="476"/>
      <c r="C8" s="476"/>
      <c r="D8" s="480" t="s">
        <v>437</v>
      </c>
      <c r="E8" s="480" t="s">
        <v>438</v>
      </c>
      <c r="F8" s="477">
        <f>'P&amp;L'!F7</f>
        <v>0</v>
      </c>
      <c r="G8" s="477">
        <f>'P&amp;L'!G7</f>
        <v>678150144</v>
      </c>
      <c r="H8" s="477">
        <f>'P&amp;L'!H7</f>
        <v>775028736</v>
      </c>
      <c r="I8" s="477">
        <f>'P&amp;L'!I7</f>
        <v>871907328</v>
      </c>
      <c r="J8" s="477">
        <f>'P&amp;L'!J7</f>
        <v>871907328</v>
      </c>
      <c r="K8" s="477">
        <f>'P&amp;L'!K7</f>
        <v>871907328</v>
      </c>
      <c r="L8" s="477">
        <f>'P&amp;L'!L7</f>
        <v>871907328</v>
      </c>
      <c r="M8" s="477">
        <f>'P&amp;L'!M7</f>
        <v>871907328</v>
      </c>
      <c r="N8" s="477">
        <f>'P&amp;L'!N7</f>
        <v>871907328</v>
      </c>
      <c r="O8" s="477">
        <f>'P&amp;L'!O7</f>
        <v>871907328</v>
      </c>
    </row>
    <row r="9" spans="1:15">
      <c r="A9" s="476"/>
      <c r="B9" s="476"/>
      <c r="C9" s="476"/>
      <c r="D9" s="480" t="s">
        <v>439</v>
      </c>
      <c r="E9" s="480" t="s">
        <v>440</v>
      </c>
      <c r="F9" s="477">
        <f>'P&amp;L'!F15</f>
        <v>3604000</v>
      </c>
      <c r="G9" s="477">
        <f>'P&amp;L'!G15</f>
        <v>769472740</v>
      </c>
      <c r="H9" s="477">
        <f>'P&amp;L'!H15</f>
        <v>676976782.29999995</v>
      </c>
      <c r="I9" s="477">
        <f>'P&amp;L'!I15</f>
        <v>607030895.8915</v>
      </c>
      <c r="J9" s="477">
        <f>'P&amp;L'!J15</f>
        <v>541417617.62197757</v>
      </c>
      <c r="K9" s="477">
        <f>'P&amp;L'!K15</f>
        <v>529822878.69053525</v>
      </c>
      <c r="L9" s="477">
        <f>'P&amp;L'!L15</f>
        <v>561316069.46125126</v>
      </c>
      <c r="M9" s="477">
        <f>'P&amp;L'!M15</f>
        <v>507444017.56733894</v>
      </c>
      <c r="N9" s="477">
        <f>'P&amp;L'!N15</f>
        <v>465320564.76272154</v>
      </c>
      <c r="O9" s="477">
        <f>'P&amp;L'!O15</f>
        <v>432637399.25867504</v>
      </c>
    </row>
    <row r="10" spans="1:15">
      <c r="A10" s="476"/>
      <c r="B10" s="476"/>
      <c r="C10" s="476"/>
      <c r="D10" s="495" t="s">
        <v>0</v>
      </c>
      <c r="E10" s="495" t="s">
        <v>1</v>
      </c>
      <c r="F10" s="496"/>
      <c r="G10" s="496"/>
      <c r="H10" s="496"/>
      <c r="I10" s="496"/>
      <c r="J10" s="496"/>
      <c r="K10" s="496"/>
      <c r="L10" s="496"/>
      <c r="M10" s="496"/>
      <c r="N10" s="496"/>
      <c r="O10" s="496"/>
    </row>
    <row r="11" spans="1:15">
      <c r="A11" s="476"/>
      <c r="B11" s="476"/>
      <c r="C11" s="476"/>
      <c r="D11" s="476" t="s">
        <v>441</v>
      </c>
      <c r="E11" s="476" t="s">
        <v>87</v>
      </c>
      <c r="F11" s="417">
        <v>0</v>
      </c>
      <c r="G11" s="417">
        <f t="shared" ref="G11:J11" si="1">G$8/G$31*G28</f>
        <v>0</v>
      </c>
      <c r="H11" s="417">
        <f t="shared" si="1"/>
        <v>0</v>
      </c>
      <c r="I11" s="417">
        <f t="shared" si="1"/>
        <v>0</v>
      </c>
      <c r="J11" s="417">
        <f t="shared" si="1"/>
        <v>0</v>
      </c>
      <c r="K11" s="417">
        <f t="shared" ref="K11" si="2">K$8/K$31*K28</f>
        <v>0</v>
      </c>
      <c r="L11" s="417">
        <f>L$8/L$31*L28</f>
        <v>0</v>
      </c>
      <c r="M11" s="417">
        <f>M$8/M$31*M28</f>
        <v>0</v>
      </c>
      <c r="N11" s="417">
        <f>N$8/N$31*N28</f>
        <v>0</v>
      </c>
      <c r="O11" s="417">
        <f>O$8/O$31*O28</f>
        <v>0</v>
      </c>
    </row>
    <row r="12" spans="1:15">
      <c r="A12" s="476"/>
      <c r="B12" s="476"/>
      <c r="C12" s="476"/>
      <c r="D12" s="476" t="s">
        <v>442</v>
      </c>
      <c r="E12" s="476" t="s">
        <v>443</v>
      </c>
      <c r="F12" s="417">
        <f>F$8/F$31*F29</f>
        <v>0</v>
      </c>
      <c r="G12" s="417">
        <f>G$8/G$31*G29</f>
        <v>55738368</v>
      </c>
      <c r="H12" s="417">
        <f t="shared" ref="H12:J12" si="3">H$8/H$31*H29</f>
        <v>63700992</v>
      </c>
      <c r="I12" s="417">
        <f t="shared" si="3"/>
        <v>71663616</v>
      </c>
      <c r="J12" s="417">
        <f t="shared" si="3"/>
        <v>71663616</v>
      </c>
      <c r="K12" s="417">
        <f t="shared" ref="K12" si="4">K$8/K$31*K29</f>
        <v>71663616</v>
      </c>
      <c r="L12" s="417">
        <f>L$8/L$31*L29</f>
        <v>71663616</v>
      </c>
      <c r="M12" s="417">
        <f>M$8/M$31*M29</f>
        <v>71663616</v>
      </c>
      <c r="N12" s="417">
        <f>N$8/N$31*N29</f>
        <v>71663616</v>
      </c>
      <c r="O12" s="417">
        <f>O$8/O$31*O29</f>
        <v>71663616</v>
      </c>
    </row>
    <row r="13" spans="1:15">
      <c r="A13" s="476"/>
      <c r="B13" s="476"/>
      <c r="C13" s="476"/>
      <c r="D13" s="476" t="s">
        <v>444</v>
      </c>
      <c r="E13" s="476" t="s">
        <v>445</v>
      </c>
      <c r="F13" s="417">
        <f>F$9/F$31*F30</f>
        <v>444328.76712328766</v>
      </c>
      <c r="G13" s="417">
        <f t="shared" ref="G13:J13" si="5">G$9/G$31*G30</f>
        <v>94866502.19178082</v>
      </c>
      <c r="H13" s="417">
        <f t="shared" si="5"/>
        <v>83462890.968493149</v>
      </c>
      <c r="I13" s="417">
        <f t="shared" si="5"/>
        <v>74839425.520869851</v>
      </c>
      <c r="J13" s="417">
        <f t="shared" si="5"/>
        <v>66750117.241065726</v>
      </c>
      <c r="K13" s="417">
        <f t="shared" ref="K13" si="6">K$9/K$31*K30</f>
        <v>65320628.879655026</v>
      </c>
      <c r="L13" s="417">
        <f>L$9/L$31*L30</f>
        <v>69203351.029469326</v>
      </c>
      <c r="M13" s="417">
        <f>M$9/M$31*M30</f>
        <v>62561591.206932195</v>
      </c>
      <c r="N13" s="417">
        <f>N$9/N$31*N30</f>
        <v>57368288.806362927</v>
      </c>
      <c r="O13" s="417">
        <f>O$9/O$31*O30</f>
        <v>53338857.442850344</v>
      </c>
    </row>
    <row r="14" spans="1:15">
      <c r="A14" s="476"/>
      <c r="B14" s="476"/>
      <c r="C14" s="476"/>
      <c r="D14" s="589" t="s">
        <v>446</v>
      </c>
      <c r="E14" s="589" t="s">
        <v>447</v>
      </c>
      <c r="F14" s="590">
        <f t="shared" ref="F14:J14" si="7">F11+F12-F13</f>
        <v>-444328.76712328766</v>
      </c>
      <c r="G14" s="590">
        <f t="shared" si="7"/>
        <v>-39128134.19178082</v>
      </c>
      <c r="H14" s="590">
        <f t="shared" si="7"/>
        <v>-19761898.968493149</v>
      </c>
      <c r="I14" s="590">
        <f t="shared" si="7"/>
        <v>-3175809.5208698511</v>
      </c>
      <c r="J14" s="590">
        <f t="shared" si="7"/>
        <v>4913498.7589342743</v>
      </c>
      <c r="K14" s="590">
        <f t="shared" ref="K14" si="8">K11+K12-K13</f>
        <v>6342987.1203449741</v>
      </c>
      <c r="L14" s="590">
        <f>L11+L12-L13</f>
        <v>2460264.9705306739</v>
      </c>
      <c r="M14" s="590">
        <f>M11+M12-M13</f>
        <v>9102024.7930678055</v>
      </c>
      <c r="N14" s="590">
        <f>N11+N12-N13</f>
        <v>14295327.193637073</v>
      </c>
      <c r="O14" s="590">
        <f>O11+O12-O13</f>
        <v>18324758.557149656</v>
      </c>
    </row>
    <row r="15" spans="1:15">
      <c r="A15" s="476"/>
      <c r="B15" s="476"/>
      <c r="C15" s="476"/>
      <c r="D15" s="495" t="s">
        <v>323</v>
      </c>
      <c r="E15" s="495" t="s">
        <v>448</v>
      </c>
      <c r="F15" s="497"/>
      <c r="G15" s="497"/>
      <c r="H15" s="497"/>
      <c r="I15" s="497"/>
      <c r="J15" s="497"/>
      <c r="K15" s="497"/>
      <c r="L15" s="497"/>
      <c r="M15" s="497"/>
      <c r="N15" s="497"/>
      <c r="O15" s="497"/>
    </row>
    <row r="16" spans="1:15">
      <c r="A16" s="476"/>
      <c r="B16" s="476"/>
      <c r="C16" s="476"/>
      <c r="D16" s="480" t="s">
        <v>341</v>
      </c>
      <c r="E16" s="480" t="s">
        <v>342</v>
      </c>
      <c r="F16" s="417">
        <v>0</v>
      </c>
      <c r="G16" s="417">
        <f t="shared" ref="G16:K16" si="9">G11-F11</f>
        <v>0</v>
      </c>
      <c r="H16" s="417">
        <f t="shared" si="9"/>
        <v>0</v>
      </c>
      <c r="I16" s="417">
        <f t="shared" si="9"/>
        <v>0</v>
      </c>
      <c r="J16" s="417">
        <f t="shared" si="9"/>
        <v>0</v>
      </c>
      <c r="K16" s="417">
        <f t="shared" si="9"/>
        <v>0</v>
      </c>
      <c r="L16" s="417">
        <f>L11-K11</f>
        <v>0</v>
      </c>
      <c r="M16" s="417">
        <f>M11-L11</f>
        <v>0</v>
      </c>
      <c r="N16" s="417">
        <f>N11-M11</f>
        <v>0</v>
      </c>
      <c r="O16" s="417">
        <f>O11-N11</f>
        <v>0</v>
      </c>
    </row>
    <row r="17" spans="1:15">
      <c r="A17" s="476"/>
      <c r="B17" s="476"/>
      <c r="C17" s="476"/>
      <c r="D17" s="480" t="s">
        <v>344</v>
      </c>
      <c r="E17" s="480" t="s">
        <v>345</v>
      </c>
      <c r="F17" s="417">
        <v>0</v>
      </c>
      <c r="G17" s="417">
        <f>G12-F12</f>
        <v>55738368</v>
      </c>
      <c r="H17" s="417">
        <f t="shared" ref="H17:K17" si="10">H12-G12</f>
        <v>7962624</v>
      </c>
      <c r="I17" s="417">
        <f t="shared" si="10"/>
        <v>7962624</v>
      </c>
      <c r="J17" s="417">
        <f t="shared" si="10"/>
        <v>0</v>
      </c>
      <c r="K17" s="417">
        <f t="shared" si="10"/>
        <v>0</v>
      </c>
      <c r="L17" s="417">
        <f>L12-K12</f>
        <v>0</v>
      </c>
      <c r="M17" s="417">
        <f>M12-L12</f>
        <v>0</v>
      </c>
      <c r="N17" s="417">
        <f>N12-M12</f>
        <v>0</v>
      </c>
      <c r="O17" s="417">
        <f>O12-N12</f>
        <v>0</v>
      </c>
    </row>
    <row r="18" spans="1:15">
      <c r="A18" s="476"/>
      <c r="B18" s="476"/>
      <c r="C18" s="476"/>
      <c r="D18" s="480" t="s">
        <v>347</v>
      </c>
      <c r="E18" s="480" t="s">
        <v>348</v>
      </c>
      <c r="F18" s="417">
        <f>F13-0</f>
        <v>444328.76712328766</v>
      </c>
      <c r="G18" s="417">
        <f t="shared" ref="G18:K18" si="11">G13-F13</f>
        <v>94422173.424657539</v>
      </c>
      <c r="H18" s="417">
        <f t="shared" si="11"/>
        <v>-11403611.223287672</v>
      </c>
      <c r="I18" s="417">
        <f t="shared" si="11"/>
        <v>-8623465.4476232976</v>
      </c>
      <c r="J18" s="417">
        <f t="shared" si="11"/>
        <v>-8089308.2798041254</v>
      </c>
      <c r="K18" s="417">
        <f t="shared" si="11"/>
        <v>-1429488.3614106998</v>
      </c>
      <c r="L18" s="417">
        <f>L13-K13</f>
        <v>3882722.1498143002</v>
      </c>
      <c r="M18" s="417">
        <f>M13-L13</f>
        <v>-6641759.8225371316</v>
      </c>
      <c r="N18" s="417">
        <f>N13-M13</f>
        <v>-5193302.4005692676</v>
      </c>
      <c r="O18" s="417">
        <f>O13-N13</f>
        <v>-4029431.3635125831</v>
      </c>
    </row>
    <row r="19" spans="1:15">
      <c r="A19" s="476"/>
      <c r="B19" s="476"/>
      <c r="C19" s="476"/>
      <c r="D19" s="568" t="s">
        <v>449</v>
      </c>
      <c r="E19" s="568" t="s">
        <v>450</v>
      </c>
      <c r="F19" s="590">
        <f t="shared" ref="F19:J19" si="12">F16+F17-F18</f>
        <v>-444328.76712328766</v>
      </c>
      <c r="G19" s="590">
        <f t="shared" si="12"/>
        <v>-38683805.424657539</v>
      </c>
      <c r="H19" s="590">
        <f>H16+H17-H18</f>
        <v>19366235.223287672</v>
      </c>
      <c r="I19" s="590">
        <f t="shared" si="12"/>
        <v>16586089.447623298</v>
      </c>
      <c r="J19" s="590">
        <f t="shared" si="12"/>
        <v>8089308.2798041254</v>
      </c>
      <c r="K19" s="590">
        <f t="shared" ref="K19" si="13">K16+K17-K18</f>
        <v>1429488.3614106998</v>
      </c>
      <c r="L19" s="590">
        <f>L16+L17-L18</f>
        <v>-3882722.1498143002</v>
      </c>
      <c r="M19" s="590">
        <f>M16+M17-M18</f>
        <v>6641759.8225371316</v>
      </c>
      <c r="N19" s="590">
        <f>N16+N17-N18</f>
        <v>5193302.4005692676</v>
      </c>
      <c r="O19" s="590">
        <f>O16+O17-O18</f>
        <v>4029431.3635125831</v>
      </c>
    </row>
    <row r="20" spans="1:15">
      <c r="A20" s="476"/>
      <c r="B20" s="476"/>
      <c r="C20" s="476"/>
      <c r="D20" s="476"/>
      <c r="E20" s="476"/>
      <c r="F20" s="476"/>
      <c r="G20" s="476"/>
      <c r="H20" s="476"/>
      <c r="I20" s="476"/>
      <c r="J20" s="476"/>
      <c r="K20" s="476"/>
      <c r="L20" s="476"/>
      <c r="M20" s="476"/>
      <c r="N20" s="476"/>
      <c r="O20" s="476"/>
    </row>
    <row r="21" spans="1:15">
      <c r="A21" s="476"/>
      <c r="B21" s="476"/>
      <c r="C21" s="476"/>
      <c r="D21" s="495" t="s">
        <v>451</v>
      </c>
      <c r="E21" s="495" t="s">
        <v>452</v>
      </c>
      <c r="F21" s="496"/>
      <c r="G21" s="496"/>
      <c r="H21" s="496"/>
      <c r="I21" s="496"/>
      <c r="J21" s="496"/>
      <c r="K21" s="496"/>
      <c r="L21" s="496"/>
      <c r="M21" s="496"/>
      <c r="N21" s="496"/>
      <c r="O21" s="496"/>
    </row>
    <row r="22" spans="1:15">
      <c r="A22" s="476"/>
      <c r="B22" s="476"/>
      <c r="C22" s="476"/>
      <c r="D22" s="476" t="s">
        <v>441</v>
      </c>
      <c r="E22" s="476" t="s">
        <v>87</v>
      </c>
      <c r="F22" s="417"/>
      <c r="G22" s="417"/>
      <c r="H22" s="417"/>
      <c r="I22" s="417"/>
      <c r="J22" s="417"/>
      <c r="K22" s="417"/>
      <c r="L22" s="417"/>
      <c r="M22" s="417"/>
      <c r="N22" s="417"/>
      <c r="O22" s="417"/>
    </row>
    <row r="23" spans="1:15">
      <c r="A23" s="476"/>
      <c r="B23" s="476"/>
      <c r="C23" s="476"/>
      <c r="D23" s="476" t="s">
        <v>442</v>
      </c>
      <c r="E23" s="476" t="s">
        <v>443</v>
      </c>
      <c r="F23" s="417"/>
      <c r="G23" s="417"/>
      <c r="H23" s="417"/>
      <c r="I23" s="417"/>
      <c r="J23" s="417"/>
      <c r="K23" s="417"/>
      <c r="L23" s="417"/>
      <c r="M23" s="417"/>
      <c r="N23" s="417"/>
      <c r="O23" s="417"/>
    </row>
    <row r="24" spans="1:15">
      <c r="A24" s="476"/>
      <c r="B24" s="476"/>
      <c r="C24" s="476"/>
      <c r="D24" s="476" t="s">
        <v>444</v>
      </c>
      <c r="E24" s="476" t="s">
        <v>445</v>
      </c>
      <c r="F24" s="417"/>
      <c r="G24" s="417"/>
      <c r="H24" s="417"/>
      <c r="I24" s="417"/>
      <c r="J24" s="417"/>
      <c r="K24" s="417"/>
      <c r="L24" s="417"/>
      <c r="M24" s="417"/>
      <c r="N24" s="417"/>
      <c r="O24" s="417"/>
    </row>
    <row r="25" spans="1:15">
      <c r="A25" s="476"/>
      <c r="B25" s="476"/>
      <c r="C25" s="476"/>
      <c r="D25" s="474" t="s">
        <v>446</v>
      </c>
      <c r="E25" s="474" t="s">
        <v>447</v>
      </c>
      <c r="F25" s="475"/>
      <c r="G25" s="475"/>
      <c r="H25" s="475"/>
      <c r="I25" s="475"/>
      <c r="J25" s="475"/>
      <c r="K25" s="475"/>
      <c r="L25" s="475"/>
      <c r="M25" s="475"/>
      <c r="N25" s="475"/>
      <c r="O25" s="475"/>
    </row>
    <row r="26" spans="1:15">
      <c r="A26" s="476"/>
      <c r="B26" s="476"/>
      <c r="C26" s="476"/>
      <c r="D26" s="476"/>
      <c r="E26" s="476"/>
      <c r="F26" s="476"/>
      <c r="G26" s="476"/>
      <c r="H26" s="476"/>
      <c r="I26" s="476"/>
      <c r="J26" s="476"/>
      <c r="K26" s="476"/>
      <c r="L26" s="476"/>
      <c r="M26" s="476"/>
      <c r="N26" s="476"/>
      <c r="O26" s="476"/>
    </row>
    <row r="27" spans="1:15">
      <c r="A27" s="476"/>
      <c r="B27" s="476"/>
      <c r="C27" s="476"/>
      <c r="D27" s="495" t="s">
        <v>453</v>
      </c>
      <c r="E27" s="495" t="s">
        <v>454</v>
      </c>
      <c r="F27" s="497">
        <f t="shared" ref="F27:J27" si="14">F6</f>
        <v>2026</v>
      </c>
      <c r="G27" s="497">
        <f t="shared" si="14"/>
        <v>2027</v>
      </c>
      <c r="H27" s="497">
        <f t="shared" si="14"/>
        <v>2028</v>
      </c>
      <c r="I27" s="497">
        <f t="shared" si="14"/>
        <v>2029</v>
      </c>
      <c r="J27" s="497">
        <f t="shared" si="14"/>
        <v>2030</v>
      </c>
      <c r="K27" s="497">
        <f t="shared" ref="K27" si="15">K6</f>
        <v>2031</v>
      </c>
      <c r="L27" s="497">
        <f>L6</f>
        <v>2032</v>
      </c>
      <c r="M27" s="497">
        <f>M6</f>
        <v>2033</v>
      </c>
      <c r="N27" s="497">
        <f>N6</f>
        <v>2034</v>
      </c>
      <c r="O27" s="497">
        <f>O6</f>
        <v>2035</v>
      </c>
    </row>
    <row r="28" spans="1:15">
      <c r="A28" s="476"/>
      <c r="B28" s="476"/>
      <c r="C28" s="476"/>
      <c r="D28" s="476" t="s">
        <v>441</v>
      </c>
      <c r="E28" s="476" t="s">
        <v>87</v>
      </c>
      <c r="F28" s="588">
        <f>Assumptions!B55</f>
        <v>0</v>
      </c>
      <c r="G28" s="588">
        <f>F28</f>
        <v>0</v>
      </c>
      <c r="H28" s="588">
        <f t="shared" ref="H28:K28" si="16">G28</f>
        <v>0</v>
      </c>
      <c r="I28" s="588">
        <f t="shared" si="16"/>
        <v>0</v>
      </c>
      <c r="J28" s="588">
        <f t="shared" si="16"/>
        <v>0</v>
      </c>
      <c r="K28" s="588">
        <f t="shared" si="16"/>
        <v>0</v>
      </c>
      <c r="L28" s="588">
        <f>K28</f>
        <v>0</v>
      </c>
      <c r="M28" s="588">
        <f>L28</f>
        <v>0</v>
      </c>
      <c r="N28" s="588">
        <f>M28</f>
        <v>0</v>
      </c>
      <c r="O28" s="588">
        <f>N28</f>
        <v>0</v>
      </c>
    </row>
    <row r="29" spans="1:15">
      <c r="A29" s="476"/>
      <c r="B29" s="476"/>
      <c r="C29" s="476"/>
      <c r="D29" s="476" t="s">
        <v>442</v>
      </c>
      <c r="E29" s="476" t="s">
        <v>443</v>
      </c>
      <c r="F29" s="588">
        <f>Assumptions!B56</f>
        <v>30</v>
      </c>
      <c r="G29" s="588">
        <f t="shared" ref="G29:G30" si="17">F29</f>
        <v>30</v>
      </c>
      <c r="H29" s="588">
        <f t="shared" ref="H29:K29" si="18">G29</f>
        <v>30</v>
      </c>
      <c r="I29" s="588">
        <f t="shared" si="18"/>
        <v>30</v>
      </c>
      <c r="J29" s="588">
        <f t="shared" si="18"/>
        <v>30</v>
      </c>
      <c r="K29" s="588">
        <f t="shared" si="18"/>
        <v>30</v>
      </c>
      <c r="L29" s="588">
        <f>K29</f>
        <v>30</v>
      </c>
      <c r="M29" s="588">
        <f>L29</f>
        <v>30</v>
      </c>
      <c r="N29" s="588">
        <f>M29</f>
        <v>30</v>
      </c>
      <c r="O29" s="588">
        <f>N29</f>
        <v>30</v>
      </c>
    </row>
    <row r="30" spans="1:15">
      <c r="A30" s="476"/>
      <c r="B30" s="476"/>
      <c r="C30" s="476"/>
      <c r="D30" s="476" t="s">
        <v>444</v>
      </c>
      <c r="E30" s="476" t="s">
        <v>445</v>
      </c>
      <c r="F30" s="588">
        <f>Assumptions!B57</f>
        <v>45</v>
      </c>
      <c r="G30" s="588">
        <f t="shared" si="17"/>
        <v>45</v>
      </c>
      <c r="H30" s="588">
        <f t="shared" ref="H30:K30" si="19">G30</f>
        <v>45</v>
      </c>
      <c r="I30" s="588">
        <f t="shared" si="19"/>
        <v>45</v>
      </c>
      <c r="J30" s="588">
        <f t="shared" si="19"/>
        <v>45</v>
      </c>
      <c r="K30" s="588">
        <f t="shared" si="19"/>
        <v>45</v>
      </c>
      <c r="L30" s="588">
        <f>K30</f>
        <v>45</v>
      </c>
      <c r="M30" s="588">
        <f>L30</f>
        <v>45</v>
      </c>
      <c r="N30" s="588">
        <f>M30</f>
        <v>45</v>
      </c>
      <c r="O30" s="588">
        <f>N30</f>
        <v>45</v>
      </c>
    </row>
    <row r="31" spans="1:15">
      <c r="A31" s="476"/>
      <c r="B31" s="476"/>
      <c r="C31" s="476"/>
      <c r="D31" s="476" t="s">
        <v>455</v>
      </c>
      <c r="E31" s="476" t="s">
        <v>456</v>
      </c>
      <c r="F31" s="588">
        <f>Assumptions!B58</f>
        <v>365</v>
      </c>
      <c r="G31" s="588">
        <f>F31</f>
        <v>365</v>
      </c>
      <c r="H31" s="588">
        <f>G31</f>
        <v>365</v>
      </c>
      <c r="I31" s="588">
        <f>H31</f>
        <v>365</v>
      </c>
      <c r="J31" s="588">
        <f>I31</f>
        <v>365</v>
      </c>
      <c r="K31" s="588">
        <f>J31</f>
        <v>365</v>
      </c>
      <c r="L31" s="588">
        <f>K31</f>
        <v>365</v>
      </c>
      <c r="M31" s="588">
        <f>L31</f>
        <v>365</v>
      </c>
      <c r="N31" s="588">
        <f>M31</f>
        <v>365</v>
      </c>
      <c r="O31" s="588">
        <f>N31</f>
        <v>365</v>
      </c>
    </row>
    <row r="32" spans="1:15">
      <c r="A32" s="476"/>
      <c r="B32" s="476"/>
      <c r="C32" s="476"/>
      <c r="D32" s="474" t="s">
        <v>457</v>
      </c>
      <c r="E32" s="474" t="s">
        <v>458</v>
      </c>
      <c r="F32" s="591">
        <f t="shared" ref="F32:J32" si="20">F28+F29-F30</f>
        <v>-15</v>
      </c>
      <c r="G32" s="591">
        <f t="shared" si="20"/>
        <v>-15</v>
      </c>
      <c r="H32" s="591">
        <f t="shared" si="20"/>
        <v>-15</v>
      </c>
      <c r="I32" s="591">
        <f t="shared" si="20"/>
        <v>-15</v>
      </c>
      <c r="J32" s="591">
        <f t="shared" si="20"/>
        <v>-15</v>
      </c>
      <c r="K32" s="591">
        <f t="shared" ref="K32" si="21">K28+K29-K30</f>
        <v>-15</v>
      </c>
      <c r="L32" s="591">
        <f>L28+L29-L30</f>
        <v>-15</v>
      </c>
      <c r="M32" s="591">
        <f>M28+M29-M30</f>
        <v>-15</v>
      </c>
      <c r="N32" s="591">
        <f>N28+N29-N30</f>
        <v>-15</v>
      </c>
      <c r="O32" s="591">
        <f>O28+O29-O30</f>
        <v>-15</v>
      </c>
    </row>
    <row r="33" spans="1:15">
      <c r="A33" s="476"/>
      <c r="B33" s="476"/>
      <c r="C33" s="476"/>
      <c r="D33" s="476"/>
      <c r="E33" s="476"/>
      <c r="F33" s="476"/>
      <c r="G33" s="476"/>
      <c r="H33" s="476"/>
      <c r="I33" s="476"/>
      <c r="J33" s="476"/>
      <c r="K33" s="476"/>
      <c r="L33" s="476"/>
      <c r="M33" s="476"/>
      <c r="N33" s="476"/>
      <c r="O33" s="476"/>
    </row>
    <row r="34" spans="1:15">
      <c r="A34" s="476"/>
      <c r="B34" s="476"/>
      <c r="C34" s="476"/>
      <c r="D34" s="476"/>
      <c r="E34" s="476"/>
      <c r="F34" s="476"/>
      <c r="G34" s="476"/>
      <c r="H34" s="476"/>
      <c r="I34" s="476"/>
      <c r="J34" s="476"/>
      <c r="K34" s="476"/>
      <c r="L34" s="476"/>
      <c r="M34" s="476"/>
      <c r="N34" s="476"/>
      <c r="O34" s="476"/>
    </row>
    <row r="35" spans="1:15">
      <c r="A35" s="476"/>
      <c r="B35" s="476"/>
      <c r="C35" s="476"/>
      <c r="D35" s="495" t="s">
        <v>459</v>
      </c>
      <c r="E35" s="495" t="s">
        <v>460</v>
      </c>
      <c r="F35" s="497">
        <f>F27</f>
        <v>2026</v>
      </c>
      <c r="G35" s="497">
        <f t="shared" ref="G35:J35" si="22">G27</f>
        <v>2027</v>
      </c>
      <c r="H35" s="497">
        <f t="shared" si="22"/>
        <v>2028</v>
      </c>
      <c r="I35" s="497">
        <f t="shared" si="22"/>
        <v>2029</v>
      </c>
      <c r="J35" s="497">
        <f t="shared" si="22"/>
        <v>2030</v>
      </c>
      <c r="K35" s="497">
        <f t="shared" ref="K35" si="23">K27</f>
        <v>2031</v>
      </c>
      <c r="L35" s="497">
        <f>L27</f>
        <v>2032</v>
      </c>
      <c r="M35" s="497">
        <f>M27</f>
        <v>2033</v>
      </c>
      <c r="N35" s="497">
        <f>N27</f>
        <v>2034</v>
      </c>
      <c r="O35" s="497">
        <f>O27</f>
        <v>2035</v>
      </c>
    </row>
    <row r="36" spans="1:15" hidden="1" outlineLevel="1">
      <c r="A36" s="476"/>
      <c r="B36" s="476"/>
      <c r="C36" s="476"/>
      <c r="D36" s="480" t="s">
        <v>88</v>
      </c>
      <c r="E36" s="480" t="s">
        <v>89</v>
      </c>
      <c r="F36" s="585">
        <v>0</v>
      </c>
      <c r="G36" s="585">
        <v>0</v>
      </c>
      <c r="H36" s="585">
        <v>0</v>
      </c>
      <c r="I36" s="585">
        <v>0</v>
      </c>
      <c r="J36" s="585">
        <v>0</v>
      </c>
      <c r="K36" s="585">
        <v>0</v>
      </c>
      <c r="L36" s="585">
        <v>0</v>
      </c>
      <c r="M36" s="585">
        <v>0</v>
      </c>
      <c r="N36" s="585">
        <v>0</v>
      </c>
      <c r="O36" s="585">
        <v>0</v>
      </c>
    </row>
    <row r="37" spans="1:15" hidden="1" outlineLevel="1">
      <c r="A37" s="476"/>
      <c r="B37" s="476"/>
      <c r="C37" s="476"/>
      <c r="D37" s="480" t="s">
        <v>90</v>
      </c>
      <c r="E37" s="480" t="s">
        <v>91</v>
      </c>
      <c r="F37" s="585">
        <v>0</v>
      </c>
      <c r="G37" s="585">
        <v>0</v>
      </c>
      <c r="H37" s="585">
        <v>0</v>
      </c>
      <c r="I37" s="585">
        <v>0</v>
      </c>
      <c r="J37" s="585">
        <v>0</v>
      </c>
      <c r="K37" s="585">
        <v>0</v>
      </c>
      <c r="L37" s="585">
        <v>0</v>
      </c>
      <c r="M37" s="585">
        <v>0</v>
      </c>
      <c r="N37" s="585">
        <v>0</v>
      </c>
      <c r="O37" s="585">
        <v>0</v>
      </c>
    </row>
    <row r="38" spans="1:15" hidden="1" outlineLevel="1">
      <c r="A38" s="476"/>
      <c r="B38" s="476"/>
      <c r="C38" s="476"/>
      <c r="D38" s="480" t="s">
        <v>92</v>
      </c>
      <c r="E38" s="480" t="s">
        <v>93</v>
      </c>
      <c r="F38" s="585">
        <v>0</v>
      </c>
      <c r="G38" s="585">
        <v>0</v>
      </c>
      <c r="H38" s="585">
        <v>0</v>
      </c>
      <c r="I38" s="585">
        <v>0</v>
      </c>
      <c r="J38" s="585">
        <v>0</v>
      </c>
      <c r="K38" s="585">
        <v>0</v>
      </c>
      <c r="L38" s="585">
        <v>0</v>
      </c>
      <c r="M38" s="585">
        <v>0</v>
      </c>
      <c r="N38" s="585">
        <v>0</v>
      </c>
      <c r="O38" s="585">
        <v>0</v>
      </c>
    </row>
    <row r="39" spans="1:15" hidden="1" outlineLevel="1">
      <c r="A39" s="476"/>
      <c r="B39" s="476"/>
      <c r="C39" s="476"/>
      <c r="D39" s="480" t="s">
        <v>94</v>
      </c>
      <c r="E39" s="480" t="s">
        <v>95</v>
      </c>
      <c r="F39" s="585">
        <v>0</v>
      </c>
      <c r="G39" s="585">
        <v>0</v>
      </c>
      <c r="H39" s="585">
        <v>0</v>
      </c>
      <c r="I39" s="585">
        <v>0</v>
      </c>
      <c r="J39" s="585">
        <v>0</v>
      </c>
      <c r="K39" s="585">
        <v>0</v>
      </c>
      <c r="L39" s="585">
        <v>0</v>
      </c>
      <c r="M39" s="585">
        <v>0</v>
      </c>
      <c r="N39" s="585">
        <v>0</v>
      </c>
      <c r="O39" s="585">
        <v>0</v>
      </c>
    </row>
    <row r="40" spans="1:15" hidden="1" outlineLevel="1">
      <c r="A40" s="476"/>
      <c r="B40" s="476"/>
      <c r="C40" s="476"/>
      <c r="D40" s="480" t="s">
        <v>97</v>
      </c>
      <c r="E40" s="480" t="s">
        <v>98</v>
      </c>
      <c r="F40" s="585">
        <v>0</v>
      </c>
      <c r="G40" s="585">
        <v>0</v>
      </c>
      <c r="H40" s="585">
        <v>0</v>
      </c>
      <c r="I40" s="585">
        <v>0</v>
      </c>
      <c r="J40" s="585">
        <v>0</v>
      </c>
      <c r="K40" s="585">
        <v>0</v>
      </c>
      <c r="L40" s="585">
        <v>0</v>
      </c>
      <c r="M40" s="585">
        <v>0</v>
      </c>
      <c r="N40" s="585">
        <v>0</v>
      </c>
      <c r="O40" s="585">
        <v>0</v>
      </c>
    </row>
    <row r="41" spans="1:15" ht="15" hidden="1" outlineLevel="1" thickBot="1">
      <c r="A41" s="476"/>
      <c r="B41" s="476"/>
      <c r="C41" s="476"/>
      <c r="D41" s="592" t="s">
        <v>461</v>
      </c>
      <c r="E41" s="592" t="s">
        <v>462</v>
      </c>
      <c r="F41" s="593">
        <f t="shared" ref="F41:J41" si="24">F11</f>
        <v>0</v>
      </c>
      <c r="G41" s="593">
        <f t="shared" si="24"/>
        <v>0</v>
      </c>
      <c r="H41" s="593">
        <f t="shared" si="24"/>
        <v>0</v>
      </c>
      <c r="I41" s="593">
        <f t="shared" si="24"/>
        <v>0</v>
      </c>
      <c r="J41" s="593">
        <f t="shared" si="24"/>
        <v>0</v>
      </c>
      <c r="K41" s="593">
        <f t="shared" ref="K41" si="25">K11</f>
        <v>0</v>
      </c>
      <c r="L41" s="593">
        <f>L11</f>
        <v>0</v>
      </c>
      <c r="M41" s="593">
        <f>M11</f>
        <v>0</v>
      </c>
      <c r="N41" s="593">
        <f>N11</f>
        <v>0</v>
      </c>
      <c r="O41" s="593">
        <f>O11</f>
        <v>0</v>
      </c>
    </row>
    <row r="42" spans="1:15" collapsed="1"/>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tabColor theme="6"/>
  </sheetPr>
  <dimension ref="D1:P93"/>
  <sheetViews>
    <sheetView showGridLines="0" topLeftCell="A16" zoomScale="115" zoomScaleNormal="115" workbookViewId="0">
      <selection activeCell="G60" sqref="G60"/>
    </sheetView>
  </sheetViews>
  <sheetFormatPr defaultColWidth="9" defaultRowHeight="14.25" outlineLevelRow="1" outlineLevelCol="1"/>
  <cols>
    <col min="1" max="3" width="2.5" customWidth="1"/>
    <col min="4" max="4" width="38.375" style="1" hidden="1" customWidth="1" outlineLevel="1"/>
    <col min="5" max="5" width="38.375" style="1" customWidth="1" collapsed="1"/>
    <col min="6" max="6" width="13.375" style="1" customWidth="1"/>
    <col min="7" max="16" width="15.875" style="1" customWidth="1"/>
  </cols>
  <sheetData>
    <row r="1" spans="4:16" ht="10.5" customHeight="1">
      <c r="D1" s="190"/>
      <c r="E1" s="190"/>
      <c r="F1" s="355" t="s">
        <v>463</v>
      </c>
      <c r="G1" s="190"/>
      <c r="H1" s="190"/>
      <c r="I1" s="190"/>
      <c r="J1" s="190"/>
      <c r="K1" s="190"/>
      <c r="L1" s="190"/>
      <c r="M1" s="190"/>
      <c r="N1" s="190"/>
      <c r="O1" s="190"/>
      <c r="P1" s="190"/>
    </row>
    <row r="2" spans="4:16" ht="10.5" customHeight="1">
      <c r="D2" s="190"/>
      <c r="E2" s="190"/>
      <c r="F2" s="190"/>
      <c r="G2" s="348"/>
      <c r="H2" s="348"/>
      <c r="I2" s="348"/>
      <c r="J2" s="348"/>
      <c r="K2" s="348"/>
      <c r="L2" s="348"/>
      <c r="M2" s="348"/>
      <c r="N2" s="348"/>
      <c r="O2" s="348"/>
      <c r="P2" s="348"/>
    </row>
    <row r="3" spans="4:16">
      <c r="D3" s="190"/>
      <c r="E3" s="190"/>
      <c r="F3" s="190"/>
      <c r="G3" s="348"/>
      <c r="H3" s="351"/>
      <c r="I3" s="348"/>
      <c r="J3" s="348"/>
      <c r="K3" s="348"/>
      <c r="L3" s="348"/>
      <c r="M3" s="348"/>
      <c r="N3" s="348"/>
      <c r="O3" s="348"/>
      <c r="P3" s="348"/>
    </row>
    <row r="4" spans="4:16">
      <c r="D4" s="182" t="s">
        <v>464</v>
      </c>
      <c r="E4" s="182" t="s">
        <v>465</v>
      </c>
      <c r="F4" s="352"/>
      <c r="G4" s="353"/>
      <c r="H4" s="354"/>
      <c r="I4" s="353"/>
      <c r="J4" s="353"/>
      <c r="K4" s="353"/>
      <c r="L4" s="353"/>
      <c r="M4" s="353"/>
      <c r="N4" s="353"/>
      <c r="O4" s="353"/>
      <c r="P4" s="353"/>
    </row>
    <row r="5" spans="4:16">
      <c r="D5" s="190"/>
      <c r="E5" s="190"/>
      <c r="F5" s="190"/>
      <c r="G5" s="190"/>
      <c r="H5" s="190"/>
      <c r="I5" s="190"/>
      <c r="J5" s="190"/>
      <c r="K5" s="190"/>
      <c r="L5" s="190"/>
      <c r="M5" s="190"/>
      <c r="N5" s="190"/>
      <c r="O5" s="190"/>
      <c r="P5" s="190"/>
    </row>
    <row r="6" spans="4:16">
      <c r="D6" s="356" t="s">
        <v>0</v>
      </c>
      <c r="E6" s="356" t="s">
        <v>1</v>
      </c>
      <c r="F6" s="357"/>
      <c r="G6" s="358">
        <v>2026</v>
      </c>
      <c r="H6" s="358">
        <f t="shared" ref="H6:L6" si="0">G6+1</f>
        <v>2027</v>
      </c>
      <c r="I6" s="358">
        <f t="shared" si="0"/>
        <v>2028</v>
      </c>
      <c r="J6" s="358">
        <f t="shared" si="0"/>
        <v>2029</v>
      </c>
      <c r="K6" s="358">
        <f t="shared" si="0"/>
        <v>2030</v>
      </c>
      <c r="L6" s="358">
        <f t="shared" si="0"/>
        <v>2031</v>
      </c>
      <c r="M6" s="358">
        <f>L6+1</f>
        <v>2032</v>
      </c>
      <c r="N6" s="358">
        <f>M6+1</f>
        <v>2033</v>
      </c>
      <c r="O6" s="358">
        <f>N6+1</f>
        <v>2034</v>
      </c>
      <c r="P6" s="358">
        <f>O6+1</f>
        <v>2035</v>
      </c>
    </row>
    <row r="7" spans="4:16">
      <c r="D7" s="369" t="s">
        <v>7</v>
      </c>
      <c r="E7" s="369" t="s">
        <v>8</v>
      </c>
      <c r="F7" s="363">
        <f>SUM(F8:F9)</f>
        <v>0</v>
      </c>
      <c r="G7" s="363">
        <f t="shared" ref="G7" si="1">SUM(G8:G9)</f>
        <v>100000</v>
      </c>
      <c r="H7" s="363">
        <f t="shared" ref="H7" si="2">SUM(H8:H9)</f>
        <v>190000</v>
      </c>
      <c r="I7" s="363">
        <f t="shared" ref="I7" si="3">SUM(I8:I9)</f>
        <v>271000</v>
      </c>
      <c r="J7" s="363">
        <f t="shared" ref="J7" si="4">SUM(J8:J9)</f>
        <v>343900</v>
      </c>
      <c r="K7" s="363">
        <f t="shared" ref="K7:L7" si="5">SUM(K8:K9)</f>
        <v>409510</v>
      </c>
      <c r="L7" s="363">
        <f t="shared" si="5"/>
        <v>468559</v>
      </c>
      <c r="M7" s="363">
        <f>SUM(M8:M9)</f>
        <v>521703.1</v>
      </c>
      <c r="N7" s="363">
        <f>SUM(N8:N9)</f>
        <v>569532.79</v>
      </c>
      <c r="O7" s="363">
        <f>SUM(O8:O9)</f>
        <v>612579.51100000006</v>
      </c>
      <c r="P7" s="363">
        <f>SUM(P8:P9)</f>
        <v>651321.55989999999</v>
      </c>
    </row>
    <row r="8" spans="4:16">
      <c r="D8" s="370" t="s">
        <v>10</v>
      </c>
      <c r="E8" s="370" t="s">
        <v>11</v>
      </c>
      <c r="F8" s="273"/>
      <c r="G8" s="273">
        <f>G59</f>
        <v>100000</v>
      </c>
      <c r="H8" s="273">
        <f t="shared" ref="H8:K8" si="6">H59</f>
        <v>190000</v>
      </c>
      <c r="I8" s="273">
        <f t="shared" si="6"/>
        <v>271000</v>
      </c>
      <c r="J8" s="273">
        <f t="shared" si="6"/>
        <v>343900</v>
      </c>
      <c r="K8" s="273">
        <f t="shared" si="6"/>
        <v>409510</v>
      </c>
      <c r="L8" s="273">
        <f>L59</f>
        <v>468559</v>
      </c>
      <c r="M8" s="273">
        <f>M63</f>
        <v>521703.1</v>
      </c>
      <c r="N8" s="273">
        <f>N63</f>
        <v>569532.79</v>
      </c>
      <c r="O8" s="273">
        <f>O63</f>
        <v>612579.51100000006</v>
      </c>
      <c r="P8" s="273">
        <f>P63</f>
        <v>651321.55989999999</v>
      </c>
    </row>
    <row r="9" spans="4:16">
      <c r="D9" s="370" t="s">
        <v>16</v>
      </c>
      <c r="E9" s="370" t="s">
        <v>17</v>
      </c>
      <c r="F9" s="273"/>
      <c r="G9" s="273">
        <f>G64</f>
        <v>0</v>
      </c>
      <c r="H9" s="273">
        <f t="shared" ref="H9:K9" si="7">H64</f>
        <v>0</v>
      </c>
      <c r="I9" s="273">
        <f t="shared" si="7"/>
        <v>0</v>
      </c>
      <c r="J9" s="273">
        <f t="shared" si="7"/>
        <v>0</v>
      </c>
      <c r="K9" s="273">
        <f t="shared" si="7"/>
        <v>0</v>
      </c>
      <c r="L9" s="273">
        <f t="shared" ref="L9" si="8">L64</f>
        <v>0</v>
      </c>
      <c r="M9" s="273">
        <f>M68</f>
        <v>0</v>
      </c>
      <c r="N9" s="273">
        <f>N68</f>
        <v>0</v>
      </c>
      <c r="O9" s="273">
        <f>O68</f>
        <v>0</v>
      </c>
      <c r="P9" s="273">
        <f>P68</f>
        <v>0</v>
      </c>
    </row>
    <row r="10" spans="4:16">
      <c r="D10" s="369" t="s">
        <v>22</v>
      </c>
      <c r="E10" s="369" t="s">
        <v>23</v>
      </c>
      <c r="F10" s="363">
        <f>SUM(F11:F15)</f>
        <v>0</v>
      </c>
      <c r="G10" s="363">
        <f t="shared" ref="G10:K10" si="9">SUM(G11:G15)</f>
        <v>3671950000</v>
      </c>
      <c r="H10" s="363">
        <f t="shared" si="9"/>
        <v>3105955000</v>
      </c>
      <c r="I10" s="363">
        <f t="shared" si="9"/>
        <v>2649181000</v>
      </c>
      <c r="J10" s="363">
        <f t="shared" si="9"/>
        <v>2279981575</v>
      </c>
      <c r="K10" s="363">
        <f t="shared" si="9"/>
        <v>2181030033.75</v>
      </c>
      <c r="L10" s="363">
        <f t="shared" ref="L10" si="10">SUM(L11:L15)</f>
        <v>2298455848.3125</v>
      </c>
      <c r="M10" s="363">
        <f>SUM(M11:M15)</f>
        <v>1989153809.2718751</v>
      </c>
      <c r="N10" s="363">
        <f>SUM(N11:N15)</f>
        <v>1738631351.7707813</v>
      </c>
      <c r="O10" s="363">
        <f>SUM(O11:O15)</f>
        <v>1535286411.7359924</v>
      </c>
      <c r="P10" s="363">
        <f>SUM(P11:P15)</f>
        <v>1369829702.0208175</v>
      </c>
    </row>
    <row r="11" spans="4:16">
      <c r="D11" s="370" t="s">
        <v>26</v>
      </c>
      <c r="E11" s="370" t="s">
        <v>27</v>
      </c>
      <c r="F11" s="273"/>
      <c r="G11" s="273">
        <f>G69</f>
        <v>68800000</v>
      </c>
      <c r="H11" s="273">
        <f t="shared" ref="H11:K11" si="11">H69</f>
        <v>68800000</v>
      </c>
      <c r="I11" s="273">
        <f t="shared" si="11"/>
        <v>68800000</v>
      </c>
      <c r="J11" s="273">
        <f t="shared" si="11"/>
        <v>68800000</v>
      </c>
      <c r="K11" s="273">
        <f t="shared" si="11"/>
        <v>68800000</v>
      </c>
      <c r="L11" s="273">
        <f>L69</f>
        <v>68800000</v>
      </c>
      <c r="M11" s="273">
        <f>M73</f>
        <v>68800000</v>
      </c>
      <c r="N11" s="273">
        <f>N73</f>
        <v>68800000</v>
      </c>
      <c r="O11" s="273">
        <f>O73</f>
        <v>68800000</v>
      </c>
      <c r="P11" s="273">
        <f>P73</f>
        <v>68800000</v>
      </c>
    </row>
    <row r="12" spans="4:16">
      <c r="D12" s="370" t="s">
        <v>29</v>
      </c>
      <c r="E12" s="370" t="s">
        <v>466</v>
      </c>
      <c r="F12" s="273"/>
      <c r="G12" s="273">
        <f>G74</f>
        <v>531000000</v>
      </c>
      <c r="H12" s="273">
        <f t="shared" ref="H12:K12" si="12">H74</f>
        <v>504450000</v>
      </c>
      <c r="I12" s="273">
        <f t="shared" si="12"/>
        <v>479227500</v>
      </c>
      <c r="J12" s="273">
        <f t="shared" si="12"/>
        <v>455266125</v>
      </c>
      <c r="K12" s="273">
        <f t="shared" si="12"/>
        <v>432502818.75</v>
      </c>
      <c r="L12" s="273">
        <f t="shared" ref="L12" si="13">L74</f>
        <v>410877677.8125</v>
      </c>
      <c r="M12" s="273">
        <f>M78</f>
        <v>390333793.921875</v>
      </c>
      <c r="N12" s="273">
        <f>N78</f>
        <v>370817104.22578126</v>
      </c>
      <c r="O12" s="273">
        <f>O78</f>
        <v>352276249.01449221</v>
      </c>
      <c r="P12" s="273">
        <f>P78</f>
        <v>334662436.56376761</v>
      </c>
    </row>
    <row r="13" spans="4:16">
      <c r="D13" s="370" t="s">
        <v>32</v>
      </c>
      <c r="E13" s="370" t="s">
        <v>33</v>
      </c>
      <c r="F13" s="273"/>
      <c r="G13" s="273">
        <f>G79</f>
        <v>3072000000</v>
      </c>
      <c r="H13" s="273">
        <f t="shared" ref="H13:J13" si="14">H79</f>
        <v>2532600000</v>
      </c>
      <c r="I13" s="273">
        <f t="shared" si="14"/>
        <v>2101080000</v>
      </c>
      <c r="J13" s="273">
        <f t="shared" si="14"/>
        <v>1755864000</v>
      </c>
      <c r="K13" s="273">
        <f>K79</f>
        <v>1679691200</v>
      </c>
      <c r="L13" s="273">
        <f>L79</f>
        <v>1818752960</v>
      </c>
      <c r="M13" s="273">
        <f>M83</f>
        <v>1530002368</v>
      </c>
      <c r="N13" s="273">
        <f>N83</f>
        <v>1299001894.4000001</v>
      </c>
      <c r="O13" s="273">
        <f>O83</f>
        <v>1114201515.52</v>
      </c>
      <c r="P13" s="273">
        <f>P83</f>
        <v>966361212.41600001</v>
      </c>
    </row>
    <row r="14" spans="4:16">
      <c r="D14" s="370" t="s">
        <v>35</v>
      </c>
      <c r="E14" s="370" t="s">
        <v>36</v>
      </c>
      <c r="F14" s="273"/>
      <c r="G14" s="273">
        <f>G84</f>
        <v>100000</v>
      </c>
      <c r="H14" s="273">
        <f t="shared" ref="H14:K14" si="15">H84</f>
        <v>70000</v>
      </c>
      <c r="I14" s="273">
        <f t="shared" si="15"/>
        <v>49000</v>
      </c>
      <c r="J14" s="273">
        <f t="shared" si="15"/>
        <v>34300</v>
      </c>
      <c r="K14" s="273">
        <f t="shared" si="15"/>
        <v>24010</v>
      </c>
      <c r="L14" s="273">
        <f t="shared" ref="L14" si="16">L84</f>
        <v>16807</v>
      </c>
      <c r="M14" s="273">
        <f>M88</f>
        <v>11764.900000000001</v>
      </c>
      <c r="N14" s="273">
        <f>N88</f>
        <v>8235.43</v>
      </c>
      <c r="O14" s="273">
        <f>O88</f>
        <v>5764.8010000000004</v>
      </c>
      <c r="P14" s="273">
        <f>P88</f>
        <v>4035.3607000000002</v>
      </c>
    </row>
    <row r="15" spans="4:16">
      <c r="D15" s="370" t="s">
        <v>38</v>
      </c>
      <c r="E15" s="370" t="s">
        <v>467</v>
      </c>
      <c r="F15" s="280"/>
      <c r="G15" s="280">
        <f>G89</f>
        <v>50000</v>
      </c>
      <c r="H15" s="280">
        <f t="shared" ref="H15:K15" si="17">H89</f>
        <v>35000</v>
      </c>
      <c r="I15" s="280">
        <f t="shared" si="17"/>
        <v>24500</v>
      </c>
      <c r="J15" s="280">
        <f t="shared" si="17"/>
        <v>17150</v>
      </c>
      <c r="K15" s="280">
        <f t="shared" si="17"/>
        <v>12005</v>
      </c>
      <c r="L15" s="280">
        <f t="shared" ref="L15" si="18">L89</f>
        <v>8403.5</v>
      </c>
      <c r="M15" s="280">
        <f>M93</f>
        <v>5882.4500000000007</v>
      </c>
      <c r="N15" s="280">
        <f>N93</f>
        <v>4117.7150000000001</v>
      </c>
      <c r="O15" s="280">
        <f>O93</f>
        <v>2882.4005000000002</v>
      </c>
      <c r="P15" s="280">
        <f>P93</f>
        <v>2017.6803500000001</v>
      </c>
    </row>
    <row r="16" spans="4:16">
      <c r="D16" s="190"/>
      <c r="E16" s="190"/>
      <c r="F16" s="190"/>
      <c r="G16" s="190"/>
      <c r="H16" s="190"/>
      <c r="I16" s="190"/>
      <c r="J16" s="190"/>
      <c r="K16" s="190"/>
      <c r="L16" s="190"/>
      <c r="M16" s="190"/>
      <c r="N16" s="190"/>
      <c r="O16" s="190"/>
      <c r="P16" s="190"/>
    </row>
    <row r="17" spans="4:16">
      <c r="D17" s="356" t="s">
        <v>468</v>
      </c>
      <c r="E17" s="356" t="s">
        <v>469</v>
      </c>
      <c r="F17" s="356"/>
      <c r="G17" s="352"/>
      <c r="H17" s="352"/>
      <c r="I17" s="352"/>
      <c r="J17" s="352"/>
      <c r="K17" s="352"/>
      <c r="L17" s="352"/>
      <c r="M17" s="352"/>
      <c r="N17" s="352"/>
      <c r="O17" s="352"/>
      <c r="P17" s="352"/>
    </row>
    <row r="18" spans="4:16">
      <c r="D18" s="369" t="s">
        <v>7</v>
      </c>
      <c r="E18" s="369" t="s">
        <v>8</v>
      </c>
      <c r="F18" s="360"/>
      <c r="G18" s="189"/>
      <c r="H18" s="189"/>
      <c r="I18" s="189"/>
      <c r="J18" s="189"/>
      <c r="K18" s="189"/>
      <c r="L18" s="189"/>
      <c r="M18" s="189"/>
      <c r="N18" s="189"/>
      <c r="O18" s="189"/>
      <c r="P18" s="189"/>
    </row>
    <row r="19" spans="4:16">
      <c r="D19" s="370" t="s">
        <v>10</v>
      </c>
      <c r="E19" s="370" t="s">
        <v>11</v>
      </c>
      <c r="F19" s="375">
        <v>0.1</v>
      </c>
      <c r="G19" s="190"/>
      <c r="H19" s="190"/>
      <c r="I19" s="190"/>
      <c r="J19" s="190"/>
      <c r="K19" s="190"/>
      <c r="L19" s="190"/>
      <c r="M19" s="190"/>
      <c r="N19" s="190"/>
      <c r="O19" s="190"/>
      <c r="P19" s="190"/>
    </row>
    <row r="20" spans="4:16">
      <c r="D20" s="370" t="s">
        <v>16</v>
      </c>
      <c r="E20" s="370" t="s">
        <v>17</v>
      </c>
      <c r="F20" s="375">
        <v>0.3</v>
      </c>
      <c r="G20" s="190"/>
      <c r="H20" s="190"/>
      <c r="I20" s="190"/>
      <c r="J20" s="190"/>
      <c r="K20" s="190"/>
      <c r="L20" s="190"/>
      <c r="M20" s="190"/>
      <c r="N20" s="190"/>
      <c r="O20" s="190"/>
      <c r="P20" s="190"/>
    </row>
    <row r="21" spans="4:16">
      <c r="D21" s="369" t="s">
        <v>22</v>
      </c>
      <c r="E21" s="369" t="s">
        <v>23</v>
      </c>
      <c r="F21" s="364"/>
      <c r="G21" s="189"/>
      <c r="H21" s="189"/>
      <c r="I21" s="189"/>
      <c r="J21" s="189"/>
      <c r="K21" s="189"/>
      <c r="L21" s="189"/>
      <c r="M21" s="189"/>
      <c r="N21" s="189"/>
      <c r="O21" s="189"/>
      <c r="P21" s="189"/>
    </row>
    <row r="22" spans="4:16">
      <c r="D22" s="370" t="s">
        <v>26</v>
      </c>
      <c r="E22" s="370" t="s">
        <v>27</v>
      </c>
      <c r="F22" s="375">
        <v>0</v>
      </c>
      <c r="G22" s="190"/>
      <c r="H22" s="349"/>
      <c r="I22" s="190"/>
      <c r="J22" s="190"/>
      <c r="K22" s="190"/>
      <c r="L22" s="190"/>
      <c r="M22" s="190"/>
      <c r="N22" s="190"/>
      <c r="O22" s="190"/>
      <c r="P22" s="190"/>
    </row>
    <row r="23" spans="4:16">
      <c r="D23" s="370" t="s">
        <v>29</v>
      </c>
      <c r="E23" s="370" t="s">
        <v>466</v>
      </c>
      <c r="F23" s="375">
        <v>0.05</v>
      </c>
      <c r="G23" s="190"/>
      <c r="H23" s="190"/>
      <c r="I23" s="190"/>
      <c r="J23" s="190"/>
      <c r="K23" s="190"/>
      <c r="L23" s="190"/>
      <c r="M23" s="190"/>
      <c r="N23" s="190"/>
      <c r="O23" s="190"/>
      <c r="P23" s="190"/>
    </row>
    <row r="24" spans="4:16">
      <c r="D24" s="370" t="s">
        <v>32</v>
      </c>
      <c r="E24" s="370" t="s">
        <v>33</v>
      </c>
      <c r="F24" s="375">
        <v>0.2</v>
      </c>
      <c r="G24" s="190"/>
      <c r="H24" s="190"/>
      <c r="I24" s="190"/>
      <c r="J24" s="190"/>
      <c r="K24" s="190"/>
      <c r="L24" s="190"/>
      <c r="M24" s="190"/>
      <c r="N24" s="190"/>
      <c r="O24" s="190"/>
      <c r="P24" s="190"/>
    </row>
    <row r="25" spans="4:16">
      <c r="D25" s="370" t="s">
        <v>35</v>
      </c>
      <c r="E25" s="370" t="s">
        <v>36</v>
      </c>
      <c r="F25" s="375">
        <v>0.3</v>
      </c>
      <c r="G25" s="190"/>
      <c r="H25" s="190"/>
      <c r="I25" s="190"/>
      <c r="J25" s="190"/>
      <c r="K25" s="190"/>
      <c r="L25" s="190"/>
      <c r="M25" s="190"/>
      <c r="N25" s="190"/>
      <c r="O25" s="190"/>
      <c r="P25" s="190"/>
    </row>
    <row r="26" spans="4:16">
      <c r="D26" s="370" t="s">
        <v>38</v>
      </c>
      <c r="E26" s="370" t="s">
        <v>467</v>
      </c>
      <c r="F26" s="375">
        <v>0.3</v>
      </c>
      <c r="G26" s="190"/>
      <c r="H26" s="190"/>
      <c r="I26" s="190"/>
      <c r="J26" s="190"/>
      <c r="K26" s="190"/>
      <c r="L26" s="190"/>
      <c r="M26" s="190"/>
      <c r="N26" s="190"/>
      <c r="O26" s="190"/>
      <c r="P26" s="190"/>
    </row>
    <row r="27" spans="4:16">
      <c r="D27" s="190"/>
      <c r="E27" s="190"/>
      <c r="F27" s="190"/>
      <c r="G27" s="190"/>
      <c r="H27" s="190"/>
      <c r="I27" s="190"/>
      <c r="J27" s="190"/>
      <c r="K27" s="190"/>
      <c r="L27" s="190"/>
      <c r="M27" s="190"/>
      <c r="N27" s="190"/>
      <c r="O27" s="190"/>
      <c r="P27" s="190"/>
    </row>
    <row r="28" spans="4:16">
      <c r="D28" s="356" t="s">
        <v>243</v>
      </c>
      <c r="E28" s="356" t="s">
        <v>470</v>
      </c>
      <c r="F28" s="357">
        <f>F6</f>
        <v>0</v>
      </c>
      <c r="G28" s="358">
        <v>2026</v>
      </c>
      <c r="H28" s="358">
        <f t="shared" ref="H28" si="19">G28+1</f>
        <v>2027</v>
      </c>
      <c r="I28" s="358">
        <f t="shared" ref="I28" si="20">H28+1</f>
        <v>2028</v>
      </c>
      <c r="J28" s="358">
        <f t="shared" ref="J28" si="21">I28+1</f>
        <v>2029</v>
      </c>
      <c r="K28" s="358">
        <f t="shared" ref="K28:L28" si="22">J28+1</f>
        <v>2030</v>
      </c>
      <c r="L28" s="358">
        <f t="shared" si="22"/>
        <v>2031</v>
      </c>
      <c r="M28" s="358">
        <f>L28+1</f>
        <v>2032</v>
      </c>
      <c r="N28" s="358">
        <f>M28+1</f>
        <v>2033</v>
      </c>
      <c r="O28" s="358">
        <f>N28+1</f>
        <v>2034</v>
      </c>
      <c r="P28" s="358">
        <f>O28+1</f>
        <v>2035</v>
      </c>
    </row>
    <row r="29" spans="4:16">
      <c r="D29" s="369" t="s">
        <v>7</v>
      </c>
      <c r="E29" s="369" t="s">
        <v>8</v>
      </c>
      <c r="F29" s="334"/>
      <c r="G29" s="363">
        <f t="shared" ref="G29" si="23">SUM(G30:G31)</f>
        <v>0</v>
      </c>
      <c r="H29" s="363">
        <f t="shared" ref="H29" si="24">SUM(H30:H31)</f>
        <v>10000</v>
      </c>
      <c r="I29" s="363">
        <f t="shared" ref="I29" si="25">SUM(I30:I31)</f>
        <v>19000</v>
      </c>
      <c r="J29" s="363">
        <f t="shared" ref="J29" si="26">SUM(J30:J31)</f>
        <v>27100</v>
      </c>
      <c r="K29" s="363">
        <f t="shared" ref="K29:L29" si="27">SUM(K30:K31)</f>
        <v>34390</v>
      </c>
      <c r="L29" s="363">
        <f t="shared" si="27"/>
        <v>40951</v>
      </c>
      <c r="M29" s="363">
        <f>SUM(M30:M31)</f>
        <v>46855.9</v>
      </c>
      <c r="N29" s="363">
        <f>SUM(N30:N31)</f>
        <v>52170.31</v>
      </c>
      <c r="O29" s="363">
        <f>SUM(O30:O31)</f>
        <v>56953.27900000001</v>
      </c>
      <c r="P29" s="363">
        <f>SUM(P30:P31)</f>
        <v>61257.951100000006</v>
      </c>
    </row>
    <row r="30" spans="4:16">
      <c r="D30" s="370" t="s">
        <v>10</v>
      </c>
      <c r="E30" s="370" t="s">
        <v>11</v>
      </c>
      <c r="F30" s="348"/>
      <c r="G30" s="273">
        <f>G62</f>
        <v>0</v>
      </c>
      <c r="H30" s="273">
        <f t="shared" ref="H30:K30" si="28">H62</f>
        <v>10000</v>
      </c>
      <c r="I30" s="273">
        <f t="shared" si="28"/>
        <v>19000</v>
      </c>
      <c r="J30" s="273">
        <f t="shared" si="28"/>
        <v>27100</v>
      </c>
      <c r="K30" s="273">
        <f t="shared" si="28"/>
        <v>34390</v>
      </c>
      <c r="L30" s="273">
        <f t="shared" ref="L30" si="29">L62</f>
        <v>40951</v>
      </c>
      <c r="M30" s="273">
        <f>M62</f>
        <v>46855.9</v>
      </c>
      <c r="N30" s="273">
        <f>N62</f>
        <v>52170.31</v>
      </c>
      <c r="O30" s="273">
        <f>O62</f>
        <v>56953.27900000001</v>
      </c>
      <c r="P30" s="273">
        <f>P62</f>
        <v>61257.951100000006</v>
      </c>
    </row>
    <row r="31" spans="4:16">
      <c r="D31" s="370" t="s">
        <v>16</v>
      </c>
      <c r="E31" s="370" t="s">
        <v>17</v>
      </c>
      <c r="F31" s="348"/>
      <c r="G31" s="273">
        <f>G67</f>
        <v>0</v>
      </c>
      <c r="H31" s="273">
        <f t="shared" ref="H31:K31" si="30">H67</f>
        <v>0</v>
      </c>
      <c r="I31" s="273">
        <f t="shared" si="30"/>
        <v>0</v>
      </c>
      <c r="J31" s="273">
        <f t="shared" si="30"/>
        <v>0</v>
      </c>
      <c r="K31" s="273">
        <f t="shared" si="30"/>
        <v>0</v>
      </c>
      <c r="L31" s="273">
        <f t="shared" ref="L31" si="31">L67</f>
        <v>0</v>
      </c>
      <c r="M31" s="273">
        <f>M67</f>
        <v>0</v>
      </c>
      <c r="N31" s="273">
        <f>N67</f>
        <v>0</v>
      </c>
      <c r="O31" s="273">
        <f>O67</f>
        <v>0</v>
      </c>
      <c r="P31" s="273">
        <f>P67</f>
        <v>0</v>
      </c>
    </row>
    <row r="32" spans="4:16">
      <c r="D32" s="369" t="s">
        <v>22</v>
      </c>
      <c r="E32" s="369" t="s">
        <v>23</v>
      </c>
      <c r="F32" s="334"/>
      <c r="G32" s="363">
        <f t="shared" ref="G32" si="32">SUM(G33:G37)</f>
        <v>0</v>
      </c>
      <c r="H32" s="363">
        <f t="shared" ref="H32" si="33">SUM(H33:H37)</f>
        <v>640995000</v>
      </c>
      <c r="I32" s="363">
        <f t="shared" ref="I32" si="34">SUM(I33:I37)</f>
        <v>531774000</v>
      </c>
      <c r="J32" s="363">
        <f t="shared" ref="J32" si="35">SUM(J33:J37)</f>
        <v>444199425</v>
      </c>
      <c r="K32" s="363">
        <f t="shared" ref="K32:L32" si="36">SUM(K33:K37)</f>
        <v>373951541.25</v>
      </c>
      <c r="L32" s="363">
        <f t="shared" si="36"/>
        <v>357574185.4375</v>
      </c>
      <c r="M32" s="363">
        <f>SUM(M33:M37)</f>
        <v>384302039.04062504</v>
      </c>
      <c r="N32" s="363">
        <f>SUM(N33:N37)</f>
        <v>325522457.5010938</v>
      </c>
      <c r="O32" s="363">
        <f>SUM(O33:O37)</f>
        <v>278344940.03478909</v>
      </c>
      <c r="P32" s="363">
        <f>SUM(P33:P37)</f>
        <v>240456709.71517459</v>
      </c>
    </row>
    <row r="33" spans="4:16">
      <c r="D33" s="370" t="s">
        <v>26</v>
      </c>
      <c r="E33" s="370" t="s">
        <v>27</v>
      </c>
      <c r="F33" s="252"/>
      <c r="G33" s="273">
        <f>G72</f>
        <v>0</v>
      </c>
      <c r="H33" s="273">
        <f t="shared" ref="H33:K33" si="37">H72</f>
        <v>0</v>
      </c>
      <c r="I33" s="273">
        <f t="shared" si="37"/>
        <v>0</v>
      </c>
      <c r="J33" s="273">
        <f t="shared" si="37"/>
        <v>0</v>
      </c>
      <c r="K33" s="273">
        <f t="shared" si="37"/>
        <v>0</v>
      </c>
      <c r="L33" s="273">
        <f t="shared" ref="L33" si="38">L72</f>
        <v>0</v>
      </c>
      <c r="M33" s="273">
        <f>M72</f>
        <v>0</v>
      </c>
      <c r="N33" s="273">
        <f>N72</f>
        <v>0</v>
      </c>
      <c r="O33" s="273">
        <f>O72</f>
        <v>0</v>
      </c>
      <c r="P33" s="273">
        <f>P72</f>
        <v>0</v>
      </c>
    </row>
    <row r="34" spans="4:16">
      <c r="D34" s="370" t="s">
        <v>29</v>
      </c>
      <c r="E34" s="370" t="s">
        <v>466</v>
      </c>
      <c r="F34" s="252"/>
      <c r="G34" s="273">
        <f>G77</f>
        <v>0</v>
      </c>
      <c r="H34" s="273">
        <f t="shared" ref="H34:K34" si="39">H77</f>
        <v>26550000</v>
      </c>
      <c r="I34" s="273">
        <f t="shared" si="39"/>
        <v>25222500</v>
      </c>
      <c r="J34" s="273">
        <f t="shared" si="39"/>
        <v>23961375</v>
      </c>
      <c r="K34" s="273">
        <f t="shared" si="39"/>
        <v>22763306.25</v>
      </c>
      <c r="L34" s="273">
        <f t="shared" ref="L34" si="40">L77</f>
        <v>21625140.9375</v>
      </c>
      <c r="M34" s="273">
        <f>M77</f>
        <v>20543883.890625</v>
      </c>
      <c r="N34" s="273">
        <f>N77</f>
        <v>19516689.696093749</v>
      </c>
      <c r="O34" s="273">
        <f>O77</f>
        <v>18540855.211289063</v>
      </c>
      <c r="P34" s="273">
        <f>P77</f>
        <v>17613812.450724613</v>
      </c>
    </row>
    <row r="35" spans="4:16">
      <c r="D35" s="370" t="s">
        <v>32</v>
      </c>
      <c r="E35" s="370" t="s">
        <v>33</v>
      </c>
      <c r="F35" s="252"/>
      <c r="G35" s="273">
        <f>G82</f>
        <v>0</v>
      </c>
      <c r="H35" s="273">
        <f t="shared" ref="H35:K35" si="41">H82</f>
        <v>614400000</v>
      </c>
      <c r="I35" s="273">
        <f t="shared" si="41"/>
        <v>506520000</v>
      </c>
      <c r="J35" s="273">
        <f t="shared" si="41"/>
        <v>420216000</v>
      </c>
      <c r="K35" s="273">
        <f t="shared" si="41"/>
        <v>351172800</v>
      </c>
      <c r="L35" s="273">
        <f t="shared" ref="L35" si="42">L82</f>
        <v>335938240</v>
      </c>
      <c r="M35" s="273">
        <f>M82</f>
        <v>363750592</v>
      </c>
      <c r="N35" s="273">
        <f>N82</f>
        <v>306000473.60000002</v>
      </c>
      <c r="O35" s="273">
        <f>O82</f>
        <v>259800378.88000003</v>
      </c>
      <c r="P35" s="273">
        <f>P82</f>
        <v>222840303.104</v>
      </c>
    </row>
    <row r="36" spans="4:16">
      <c r="D36" s="370" t="s">
        <v>35</v>
      </c>
      <c r="E36" s="370" t="s">
        <v>36</v>
      </c>
      <c r="F36" s="252"/>
      <c r="G36" s="273">
        <f>G87</f>
        <v>0</v>
      </c>
      <c r="H36" s="273">
        <f t="shared" ref="H36:K36" si="43">H87</f>
        <v>30000</v>
      </c>
      <c r="I36" s="273">
        <f t="shared" si="43"/>
        <v>21000</v>
      </c>
      <c r="J36" s="273">
        <f t="shared" si="43"/>
        <v>14700</v>
      </c>
      <c r="K36" s="273">
        <f t="shared" si="43"/>
        <v>10290</v>
      </c>
      <c r="L36" s="273">
        <f t="shared" ref="L36" si="44">L87</f>
        <v>7203</v>
      </c>
      <c r="M36" s="273">
        <f>M87</f>
        <v>5042.0999999999995</v>
      </c>
      <c r="N36" s="273">
        <f>N87</f>
        <v>3529.4700000000003</v>
      </c>
      <c r="O36" s="273">
        <f>O87</f>
        <v>2470.6289999999999</v>
      </c>
      <c r="P36" s="273">
        <f>P87</f>
        <v>1729.4403</v>
      </c>
    </row>
    <row r="37" spans="4:16">
      <c r="D37" s="370" t="s">
        <v>38</v>
      </c>
      <c r="E37" s="370" t="s">
        <v>467</v>
      </c>
      <c r="F37" s="252"/>
      <c r="G37" s="273">
        <f>G92</f>
        <v>0</v>
      </c>
      <c r="H37" s="273">
        <f t="shared" ref="H37:K37" si="45">H92</f>
        <v>15000</v>
      </c>
      <c r="I37" s="273">
        <f t="shared" si="45"/>
        <v>10500</v>
      </c>
      <c r="J37" s="273">
        <f t="shared" si="45"/>
        <v>7350</v>
      </c>
      <c r="K37" s="273">
        <f t="shared" si="45"/>
        <v>5145</v>
      </c>
      <c r="L37" s="273">
        <f t="shared" ref="L37" si="46">L92</f>
        <v>3601.5</v>
      </c>
      <c r="M37" s="273">
        <f>M92</f>
        <v>2521.0499999999997</v>
      </c>
      <c r="N37" s="273">
        <f>N92</f>
        <v>1764.7350000000001</v>
      </c>
      <c r="O37" s="273">
        <f>O92</f>
        <v>1235.3145</v>
      </c>
      <c r="P37" s="273">
        <f>P92</f>
        <v>864.72014999999999</v>
      </c>
    </row>
    <row r="38" spans="4:16" ht="15" thickBot="1">
      <c r="D38" s="371" t="s">
        <v>471</v>
      </c>
      <c r="E38" s="371" t="s">
        <v>472</v>
      </c>
      <c r="F38" s="362"/>
      <c r="G38" s="365">
        <f t="shared" ref="G38:K38" si="47">SUM(G29,G32)</f>
        <v>0</v>
      </c>
      <c r="H38" s="365">
        <f t="shared" si="47"/>
        <v>641005000</v>
      </c>
      <c r="I38" s="365">
        <f t="shared" si="47"/>
        <v>531793000</v>
      </c>
      <c r="J38" s="365">
        <f t="shared" si="47"/>
        <v>444226525</v>
      </c>
      <c r="K38" s="365">
        <f t="shared" si="47"/>
        <v>373985931.25</v>
      </c>
      <c r="L38" s="365">
        <f t="shared" ref="L38" si="48">SUM(L29,L32)</f>
        <v>357615136.4375</v>
      </c>
      <c r="M38" s="365">
        <f>SUM(M29,M32)</f>
        <v>384348894.94062501</v>
      </c>
      <c r="N38" s="365">
        <f>SUM(N29,N32)</f>
        <v>325574627.81109381</v>
      </c>
      <c r="O38" s="365">
        <f>SUM(O29,O32)</f>
        <v>278401893.31378907</v>
      </c>
      <c r="P38" s="365">
        <f>SUM(P29,P32)</f>
        <v>240517967.66627458</v>
      </c>
    </row>
    <row r="39" spans="4:16" ht="15" thickTop="1">
      <c r="D39" s="372" t="s">
        <v>473</v>
      </c>
      <c r="E39" s="372" t="s">
        <v>474</v>
      </c>
      <c r="F39" s="359"/>
      <c r="G39" s="376" t="str">
        <f>IFERROR(G38/'P&amp;L'!F$7,"bd")</f>
        <v>bd</v>
      </c>
      <c r="H39" s="376">
        <f>IFERROR(H38/'P&amp;L'!G$7,"bd")</f>
        <v>0.94522578174074678</v>
      </c>
      <c r="I39" s="376">
        <f>IFERROR(I38/'P&amp;L'!H$7,"bd")</f>
        <v>0.68615907423592615</v>
      </c>
      <c r="J39" s="376">
        <f>IFERROR(J38/'P&amp;L'!I$7,"bd")</f>
        <v>0.50948823428170564</v>
      </c>
      <c r="K39" s="376">
        <f>IFERROR(K38/'P&amp;L'!J$7,"bd")</f>
        <v>0.4289285331594323</v>
      </c>
      <c r="L39" s="376">
        <f>IFERROR(L38/'P&amp;L'!K$7,"bd")</f>
        <v>0.41015269049040498</v>
      </c>
      <c r="M39" s="376">
        <f>IFERROR(M38/'P&amp;L'!M$7,"bd")</f>
        <v>0.44081392895533161</v>
      </c>
      <c r="N39" s="376">
        <f>IFERROR(N38/'P&amp;L'!N$7,"bd")</f>
        <v>0.3734050825767275</v>
      </c>
      <c r="O39" s="376">
        <f>IFERROR(O38/'P&amp;L'!O$7,"bd")</f>
        <v>0.31930216018758945</v>
      </c>
      <c r="P39" s="376">
        <f>IFERROR(P38/'P&amp;L'!O$7,"bd")</f>
        <v>0.2758526737216212</v>
      </c>
    </row>
    <row r="40" spans="4:16">
      <c r="D40" s="190"/>
      <c r="E40" s="190"/>
      <c r="F40" s="190"/>
      <c r="G40" s="190"/>
      <c r="H40" s="190"/>
      <c r="I40" s="190"/>
      <c r="J40" s="190"/>
      <c r="K40" s="190"/>
      <c r="L40" s="190"/>
      <c r="M40" s="190"/>
      <c r="N40" s="190"/>
      <c r="O40" s="190"/>
      <c r="P40" s="190"/>
    </row>
    <row r="41" spans="4:16">
      <c r="D41" s="356" t="s">
        <v>475</v>
      </c>
      <c r="E41" s="356" t="s">
        <v>475</v>
      </c>
      <c r="F41" s="357"/>
      <c r="G41" s="358">
        <v>2026</v>
      </c>
      <c r="H41" s="358">
        <f t="shared" ref="H41" si="49">G41+1</f>
        <v>2027</v>
      </c>
      <c r="I41" s="358">
        <f t="shared" ref="I41" si="50">H41+1</f>
        <v>2028</v>
      </c>
      <c r="J41" s="358">
        <f t="shared" ref="J41" si="51">I41+1</f>
        <v>2029</v>
      </c>
      <c r="K41" s="358">
        <f t="shared" ref="K41:L41" si="52">J41+1</f>
        <v>2030</v>
      </c>
      <c r="L41" s="358">
        <f t="shared" si="52"/>
        <v>2031</v>
      </c>
      <c r="M41" s="358">
        <f>L41+1</f>
        <v>2032</v>
      </c>
      <c r="N41" s="358">
        <f>M41+1</f>
        <v>2033</v>
      </c>
      <c r="O41" s="358">
        <f>N41+1</f>
        <v>2034</v>
      </c>
      <c r="P41" s="358">
        <f>O41+1</f>
        <v>2035</v>
      </c>
    </row>
    <row r="42" spans="4:16">
      <c r="D42" s="369" t="s">
        <v>7</v>
      </c>
      <c r="E42" s="369" t="s">
        <v>8</v>
      </c>
      <c r="F42" s="334"/>
      <c r="G42" s="363">
        <f>SUM(G43)</f>
        <v>100000</v>
      </c>
      <c r="H42" s="363">
        <f t="shared" ref="H42:L42" si="53">SUM(H43)</f>
        <v>100000</v>
      </c>
      <c r="I42" s="363">
        <f t="shared" si="53"/>
        <v>100000</v>
      </c>
      <c r="J42" s="363">
        <f t="shared" si="53"/>
        <v>100000</v>
      </c>
      <c r="K42" s="363">
        <f t="shared" si="53"/>
        <v>100000</v>
      </c>
      <c r="L42" s="363">
        <f t="shared" si="53"/>
        <v>100000</v>
      </c>
      <c r="M42" s="363">
        <f>SUM(M43)</f>
        <v>100000</v>
      </c>
      <c r="N42" s="363">
        <f>SUM(N43)</f>
        <v>100000</v>
      </c>
      <c r="O42" s="363">
        <f>SUM(O43)</f>
        <v>100000</v>
      </c>
      <c r="P42" s="363">
        <f>SUM(P43)</f>
        <v>100000</v>
      </c>
    </row>
    <row r="43" spans="4:16">
      <c r="D43" s="370" t="s">
        <v>10</v>
      </c>
      <c r="E43" s="370" t="s">
        <v>11</v>
      </c>
      <c r="F43" s="350"/>
      <c r="G43" s="326">
        <v>100000</v>
      </c>
      <c r="H43" s="326">
        <v>100000</v>
      </c>
      <c r="I43" s="326">
        <v>100000</v>
      </c>
      <c r="J43" s="326">
        <v>100000</v>
      </c>
      <c r="K43" s="326">
        <v>100000</v>
      </c>
      <c r="L43" s="326">
        <v>100000</v>
      </c>
      <c r="M43" s="326">
        <v>100000</v>
      </c>
      <c r="N43" s="326">
        <v>100000</v>
      </c>
      <c r="O43" s="326">
        <v>100000</v>
      </c>
      <c r="P43" s="326">
        <v>100000</v>
      </c>
    </row>
    <row r="44" spans="4:16">
      <c r="D44" s="369" t="s">
        <v>22</v>
      </c>
      <c r="E44" s="369" t="s">
        <v>23</v>
      </c>
      <c r="F44" s="334"/>
      <c r="G44" s="363">
        <f>SUM(G45:G51)</f>
        <v>3671950000</v>
      </c>
      <c r="H44" s="363">
        <f t="shared" ref="H44:L44" si="54">SUM(H45:H51)</f>
        <v>75000000</v>
      </c>
      <c r="I44" s="363">
        <f t="shared" si="54"/>
        <v>75000000</v>
      </c>
      <c r="J44" s="363">
        <f t="shared" si="54"/>
        <v>75000000</v>
      </c>
      <c r="K44" s="363">
        <f t="shared" si="54"/>
        <v>275000000</v>
      </c>
      <c r="L44" s="363">
        <f t="shared" si="54"/>
        <v>475000000</v>
      </c>
      <c r="M44" s="363">
        <f>SUM(M45:M51)</f>
        <v>75000000</v>
      </c>
      <c r="N44" s="363">
        <f>SUM(N45:N51)</f>
        <v>75000000</v>
      </c>
      <c r="O44" s="363">
        <f>SUM(O45:O51)</f>
        <v>75000000</v>
      </c>
      <c r="P44" s="363">
        <f>SUM(P45:P51)</f>
        <v>75000000</v>
      </c>
    </row>
    <row r="45" spans="4:16">
      <c r="D45" s="370" t="s">
        <v>26</v>
      </c>
      <c r="E45" s="370" t="s">
        <v>27</v>
      </c>
      <c r="F45" s="190"/>
      <c r="G45" s="331">
        <f>Assumptions!B64</f>
        <v>68800000</v>
      </c>
      <c r="H45" s="290">
        <v>0</v>
      </c>
      <c r="I45" s="290">
        <v>0</v>
      </c>
      <c r="J45" s="290">
        <v>0</v>
      </c>
      <c r="K45" s="290">
        <v>0</v>
      </c>
      <c r="L45" s="290">
        <v>0</v>
      </c>
      <c r="M45" s="290">
        <v>0</v>
      </c>
      <c r="N45" s="290">
        <v>0</v>
      </c>
      <c r="O45" s="290">
        <v>0</v>
      </c>
      <c r="P45" s="290">
        <v>0</v>
      </c>
    </row>
    <row r="46" spans="4:16">
      <c r="D46" s="370" t="s">
        <v>29</v>
      </c>
      <c r="E46" s="370" t="s">
        <v>466</v>
      </c>
      <c r="F46" s="190"/>
      <c r="G46" s="331">
        <f>Assumptions!B65</f>
        <v>531000000</v>
      </c>
      <c r="H46" s="273">
        <v>0</v>
      </c>
      <c r="I46" s="290">
        <v>0</v>
      </c>
      <c r="J46" s="290">
        <v>0</v>
      </c>
      <c r="K46" s="290">
        <v>0</v>
      </c>
      <c r="L46" s="290">
        <v>0</v>
      </c>
      <c r="M46" s="290">
        <v>0</v>
      </c>
      <c r="N46" s="290">
        <v>0</v>
      </c>
      <c r="O46" s="290">
        <v>0</v>
      </c>
      <c r="P46" s="290">
        <v>0</v>
      </c>
    </row>
    <row r="47" spans="4:16">
      <c r="D47" s="370" t="s">
        <v>32</v>
      </c>
      <c r="E47" s="370" t="s">
        <v>33</v>
      </c>
      <c r="F47" s="190"/>
      <c r="G47" s="331">
        <f>Assumptions!B66</f>
        <v>3072000000</v>
      </c>
      <c r="H47" s="290">
        <v>0</v>
      </c>
      <c r="I47" s="290">
        <v>0</v>
      </c>
      <c r="J47" s="290">
        <v>0</v>
      </c>
      <c r="K47" s="290">
        <v>0</v>
      </c>
      <c r="L47" s="290">
        <v>0</v>
      </c>
      <c r="M47" s="290">
        <v>0</v>
      </c>
      <c r="N47" s="290">
        <v>0</v>
      </c>
      <c r="O47" s="290">
        <v>0</v>
      </c>
      <c r="P47" s="290">
        <v>0</v>
      </c>
    </row>
    <row r="48" spans="4:16">
      <c r="D48" s="370" t="s">
        <v>35</v>
      </c>
      <c r="E48" s="370" t="s">
        <v>36</v>
      </c>
      <c r="F48" s="190"/>
      <c r="G48" s="331">
        <f>Assumptions!B67</f>
        <v>100000</v>
      </c>
      <c r="H48" s="290">
        <v>0</v>
      </c>
      <c r="I48" s="290">
        <v>0</v>
      </c>
      <c r="J48" s="290">
        <v>0</v>
      </c>
      <c r="K48" s="290">
        <v>0</v>
      </c>
      <c r="L48" s="290">
        <v>0</v>
      </c>
      <c r="M48" s="290">
        <v>0</v>
      </c>
      <c r="N48" s="290">
        <v>0</v>
      </c>
      <c r="O48" s="290">
        <v>0</v>
      </c>
      <c r="P48" s="290">
        <v>0</v>
      </c>
    </row>
    <row r="49" spans="4:16">
      <c r="D49" s="370" t="s">
        <v>38</v>
      </c>
      <c r="E49" s="370" t="s">
        <v>467</v>
      </c>
      <c r="F49" s="190"/>
      <c r="G49" s="331">
        <f>Assumptions!B68</f>
        <v>50000</v>
      </c>
      <c r="H49" s="290">
        <v>0</v>
      </c>
      <c r="I49" s="290">
        <v>0</v>
      </c>
      <c r="J49" s="290">
        <v>0</v>
      </c>
      <c r="K49" s="290">
        <v>0</v>
      </c>
      <c r="L49" s="290">
        <v>0</v>
      </c>
      <c r="M49" s="290">
        <v>0</v>
      </c>
      <c r="N49" s="290">
        <v>0</v>
      </c>
      <c r="O49" s="290">
        <v>0</v>
      </c>
      <c r="P49" s="290">
        <v>0</v>
      </c>
    </row>
    <row r="50" spans="4:16">
      <c r="D50" s="370" t="s">
        <v>16</v>
      </c>
      <c r="E50" s="370" t="s">
        <v>1543</v>
      </c>
      <c r="F50" s="350"/>
      <c r="G50" s="273">
        <v>0</v>
      </c>
      <c r="H50" s="219">
        <f>Assumptions!$B$99</f>
        <v>75000000</v>
      </c>
      <c r="I50" s="219">
        <f>Assumptions!$B$99</f>
        <v>75000000</v>
      </c>
      <c r="J50" s="219">
        <f>Assumptions!$B$99</f>
        <v>75000000</v>
      </c>
      <c r="K50" s="219">
        <f>Assumptions!$B$99</f>
        <v>75000000</v>
      </c>
      <c r="L50" s="219">
        <f>Assumptions!$B$99</f>
        <v>75000000</v>
      </c>
      <c r="M50" s="219">
        <f>Assumptions!$B$99</f>
        <v>75000000</v>
      </c>
      <c r="N50" s="219">
        <f>Assumptions!$B$99</f>
        <v>75000000</v>
      </c>
      <c r="O50" s="219">
        <f>Assumptions!$B$99</f>
        <v>75000000</v>
      </c>
      <c r="P50" s="219">
        <f>Assumptions!$B$99</f>
        <v>75000000</v>
      </c>
    </row>
    <row r="51" spans="4:16">
      <c r="D51" s="370" t="s">
        <v>16</v>
      </c>
      <c r="E51" s="370" t="s">
        <v>1544</v>
      </c>
      <c r="F51" s="350"/>
      <c r="G51" s="273">
        <v>0</v>
      </c>
      <c r="H51" s="219">
        <v>0</v>
      </c>
      <c r="I51" s="219">
        <v>0</v>
      </c>
      <c r="J51" s="219">
        <v>0</v>
      </c>
      <c r="K51" s="219">
        <f>Assumptions!B100</f>
        <v>200000000</v>
      </c>
      <c r="L51" s="219">
        <f>Assumptions!B101</f>
        <v>400000000</v>
      </c>
      <c r="M51" s="219">
        <v>0</v>
      </c>
      <c r="N51" s="219">
        <v>0</v>
      </c>
      <c r="O51" s="219">
        <v>0</v>
      </c>
      <c r="P51" s="219">
        <v>0</v>
      </c>
    </row>
    <row r="52" spans="4:16" ht="15" thickBot="1">
      <c r="D52" s="371" t="s">
        <v>476</v>
      </c>
      <c r="E52" s="371" t="s">
        <v>477</v>
      </c>
      <c r="F52" s="362"/>
      <c r="G52" s="365">
        <f>SUM(G42,G44)</f>
        <v>3672050000</v>
      </c>
      <c r="H52" s="365">
        <f>SUM(H42,H44)</f>
        <v>75100000</v>
      </c>
      <c r="I52" s="365">
        <f>SUM(I42,I44)</f>
        <v>75100000</v>
      </c>
      <c r="J52" s="365">
        <f>SUM(J42,J44)</f>
        <v>75100000</v>
      </c>
      <c r="K52" s="365">
        <f>SUM(K42,K44)</f>
        <v>275100000</v>
      </c>
      <c r="L52" s="365">
        <f>SUM(L42,L44)</f>
        <v>475100000</v>
      </c>
      <c r="M52" s="365">
        <f>SUM(M42,M44)</f>
        <v>75100000</v>
      </c>
      <c r="N52" s="365">
        <f>SUM(N42,N44)</f>
        <v>75100000</v>
      </c>
      <c r="O52" s="365">
        <f>SUM(O42,O44)</f>
        <v>75100000</v>
      </c>
      <c r="P52" s="365">
        <f>SUM(P42,P44)</f>
        <v>75100000</v>
      </c>
    </row>
    <row r="53" spans="4:16" ht="15" thickTop="1">
      <c r="D53" s="372" t="s">
        <v>473</v>
      </c>
      <c r="E53" s="372"/>
      <c r="F53" s="359"/>
      <c r="G53" s="376"/>
      <c r="H53" s="376">
        <f>IFERROR(H52/'P&amp;L'!G$7,"bd")</f>
        <v>0.1107424375921094</v>
      </c>
      <c r="I53" s="376">
        <f>IFERROR(I52/'P&amp;L'!H$7,"bd")</f>
        <v>9.6899632893095722E-2</v>
      </c>
      <c r="J53" s="376">
        <f>IFERROR(J52/'P&amp;L'!I$7,"bd")</f>
        <v>8.6133007016085089E-2</v>
      </c>
      <c r="K53" s="376">
        <f>IFERROR(K52/'P&amp;L'!J$7,"bd")</f>
        <v>0.31551518282456736</v>
      </c>
      <c r="L53" s="376">
        <f>IFERROR(L52/'P&amp;L'!K$7,"bd")</f>
        <v>0.54489735863304956</v>
      </c>
      <c r="M53" s="376">
        <f>IFERROR(M52/'P&amp;L'!L$7,"bd")</f>
        <v>8.6133007016085089E-2</v>
      </c>
      <c r="N53" s="376">
        <f>IFERROR(N52/'P&amp;L'!M$7,"bd")</f>
        <v>8.6133007016085089E-2</v>
      </c>
      <c r="O53" s="376">
        <f>IFERROR(O52/'P&amp;L'!N$7,"bd")</f>
        <v>8.6133007016085089E-2</v>
      </c>
      <c r="P53" s="376">
        <f>IFERROR(P52/'P&amp;L'!O$7,"bd")</f>
        <v>8.6133007016085089E-2</v>
      </c>
    </row>
    <row r="54" spans="4:16">
      <c r="D54" s="373" t="s">
        <v>1531</v>
      </c>
      <c r="E54" s="373" t="s">
        <v>1532</v>
      </c>
      <c r="F54" s="361"/>
      <c r="G54" s="447">
        <f>Assumptions!B73</f>
        <v>812047346.63087571</v>
      </c>
      <c r="H54" s="366"/>
      <c r="I54" s="366"/>
      <c r="J54" s="366"/>
      <c r="K54" s="366"/>
      <c r="L54" s="366"/>
      <c r="M54" s="366"/>
      <c r="N54" s="366"/>
      <c r="O54" s="366"/>
      <c r="P54" s="366"/>
    </row>
    <row r="55" spans="4:16">
      <c r="D55" s="373" t="s">
        <v>1533</v>
      </c>
      <c r="E55" s="373" t="s">
        <v>1534</v>
      </c>
      <c r="F55" s="361"/>
      <c r="G55" s="367">
        <f>G54/G52</f>
        <v>0.22114278036270632</v>
      </c>
      <c r="H55" s="366"/>
      <c r="I55" s="366"/>
      <c r="J55" s="366"/>
      <c r="K55" s="366"/>
      <c r="L55" s="366"/>
      <c r="M55" s="366"/>
      <c r="N55" s="366"/>
      <c r="O55" s="366"/>
      <c r="P55" s="366"/>
    </row>
    <row r="56" spans="4:16">
      <c r="D56" s="182" t="s">
        <v>478</v>
      </c>
      <c r="E56" s="182" t="s">
        <v>479</v>
      </c>
      <c r="F56" s="352"/>
      <c r="G56" s="352"/>
      <c r="H56" s="352"/>
      <c r="I56" s="352"/>
      <c r="J56" s="352"/>
      <c r="K56" s="352"/>
      <c r="L56" s="352"/>
      <c r="M56" s="352"/>
      <c r="N56" s="352"/>
      <c r="O56" s="352"/>
      <c r="P56" s="352"/>
    </row>
    <row r="57" spans="4:16">
      <c r="D57" s="190"/>
      <c r="E57" s="190"/>
      <c r="F57" s="190"/>
      <c r="G57" s="190"/>
      <c r="H57" s="190"/>
      <c r="I57" s="190"/>
      <c r="J57" s="190"/>
      <c r="K57" s="190"/>
      <c r="L57" s="190"/>
      <c r="M57" s="190"/>
      <c r="N57" s="190"/>
      <c r="O57" s="190"/>
      <c r="P57" s="190"/>
    </row>
    <row r="58" spans="4:16">
      <c r="D58" s="356" t="s">
        <v>480</v>
      </c>
      <c r="E58" s="356" t="s">
        <v>481</v>
      </c>
      <c r="F58" s="358">
        <f>F41</f>
        <v>0</v>
      </c>
      <c r="G58" s="358">
        <v>2026</v>
      </c>
      <c r="H58" s="358">
        <f t="shared" ref="H58" si="55">G58+1</f>
        <v>2027</v>
      </c>
      <c r="I58" s="358">
        <f t="shared" ref="I58" si="56">H58+1</f>
        <v>2028</v>
      </c>
      <c r="J58" s="358">
        <f t="shared" ref="J58" si="57">I58+1</f>
        <v>2029</v>
      </c>
      <c r="K58" s="358">
        <f t="shared" ref="K58:L58" si="58">J58+1</f>
        <v>2030</v>
      </c>
      <c r="L58" s="358">
        <f t="shared" si="58"/>
        <v>2031</v>
      </c>
      <c r="M58" s="358">
        <f>L58+1</f>
        <v>2032</v>
      </c>
      <c r="N58" s="358">
        <f>M58+1</f>
        <v>2033</v>
      </c>
      <c r="O58" s="358">
        <f>N58+1</f>
        <v>2034</v>
      </c>
      <c r="P58" s="358">
        <f>O58+1</f>
        <v>2035</v>
      </c>
    </row>
    <row r="59" spans="4:16">
      <c r="D59" s="262" t="s">
        <v>10</v>
      </c>
      <c r="E59" s="262" t="s">
        <v>11</v>
      </c>
      <c r="F59" s="368">
        <f>F63</f>
        <v>0</v>
      </c>
      <c r="G59" s="368">
        <f>G63</f>
        <v>100000</v>
      </c>
      <c r="H59" s="368">
        <f t="shared" ref="H59:K59" si="59">H63</f>
        <v>190000</v>
      </c>
      <c r="I59" s="368">
        <f t="shared" si="59"/>
        <v>271000</v>
      </c>
      <c r="J59" s="368">
        <f t="shared" si="59"/>
        <v>343900</v>
      </c>
      <c r="K59" s="368">
        <f t="shared" si="59"/>
        <v>409510</v>
      </c>
      <c r="L59" s="368">
        <f t="shared" ref="L59" si="60">L63</f>
        <v>468559</v>
      </c>
      <c r="M59" s="368"/>
      <c r="N59" s="368"/>
      <c r="O59" s="368"/>
      <c r="P59" s="368"/>
    </row>
    <row r="60" spans="4:16" outlineLevel="1">
      <c r="D60" s="262" t="s">
        <v>482</v>
      </c>
      <c r="E60" s="262" t="s">
        <v>483</v>
      </c>
      <c r="F60" s="368"/>
      <c r="G60" s="368">
        <v>0</v>
      </c>
      <c r="H60" s="368">
        <f t="shared" ref="H60:L60" si="61">G63</f>
        <v>100000</v>
      </c>
      <c r="I60" s="368">
        <f t="shared" si="61"/>
        <v>190000</v>
      </c>
      <c r="J60" s="368">
        <f t="shared" si="61"/>
        <v>271000</v>
      </c>
      <c r="K60" s="368">
        <f t="shared" si="61"/>
        <v>343900</v>
      </c>
      <c r="L60" s="368">
        <f t="shared" si="61"/>
        <v>409510</v>
      </c>
      <c r="M60" s="368">
        <f>L63</f>
        <v>468559</v>
      </c>
      <c r="N60" s="368">
        <f>M63</f>
        <v>521703.1</v>
      </c>
      <c r="O60" s="368">
        <f>N63</f>
        <v>569532.79</v>
      </c>
      <c r="P60" s="368">
        <f>O63</f>
        <v>612579.51100000006</v>
      </c>
    </row>
    <row r="61" spans="4:16" outlineLevel="1">
      <c r="D61" s="374" t="s">
        <v>475</v>
      </c>
      <c r="E61" s="374" t="s">
        <v>475</v>
      </c>
      <c r="F61" s="273">
        <f>F43</f>
        <v>0</v>
      </c>
      <c r="G61" s="273">
        <f>G43</f>
        <v>100000</v>
      </c>
      <c r="H61" s="273">
        <f>H43</f>
        <v>100000</v>
      </c>
      <c r="I61" s="273">
        <f>I43</f>
        <v>100000</v>
      </c>
      <c r="J61" s="273">
        <f>J43</f>
        <v>100000</v>
      </c>
      <c r="K61" s="273">
        <f>K43</f>
        <v>100000</v>
      </c>
      <c r="L61" s="273">
        <f>L43</f>
        <v>100000</v>
      </c>
      <c r="M61" s="273">
        <f>M43</f>
        <v>100000</v>
      </c>
      <c r="N61" s="273">
        <f>N43</f>
        <v>100000</v>
      </c>
      <c r="O61" s="273">
        <f>O43</f>
        <v>100000</v>
      </c>
      <c r="P61" s="273">
        <f>P43</f>
        <v>100000</v>
      </c>
    </row>
    <row r="62" spans="4:16" outlineLevel="1">
      <c r="D62" s="374" t="s">
        <v>243</v>
      </c>
      <c r="E62" s="374" t="s">
        <v>484</v>
      </c>
      <c r="F62" s="273">
        <f>F30</f>
        <v>0</v>
      </c>
      <c r="G62" s="273">
        <f>$F$19*G60</f>
        <v>0</v>
      </c>
      <c r="H62" s="273">
        <f t="shared" ref="H62:K62" si="62">$F$19*H60</f>
        <v>10000</v>
      </c>
      <c r="I62" s="273">
        <f t="shared" si="62"/>
        <v>19000</v>
      </c>
      <c r="J62" s="273">
        <f t="shared" si="62"/>
        <v>27100</v>
      </c>
      <c r="K62" s="273">
        <f t="shared" si="62"/>
        <v>34390</v>
      </c>
      <c r="L62" s="273">
        <f t="shared" ref="L62" si="63">$F$19*L60</f>
        <v>40951</v>
      </c>
      <c r="M62" s="273">
        <f>$F$19*M60</f>
        <v>46855.9</v>
      </c>
      <c r="N62" s="273">
        <f>$F$19*N60</f>
        <v>52170.31</v>
      </c>
      <c r="O62" s="273">
        <f>$F$19*O60</f>
        <v>56953.27900000001</v>
      </c>
      <c r="P62" s="273">
        <f>$F$19*P60</f>
        <v>61257.951100000006</v>
      </c>
    </row>
    <row r="63" spans="4:16" outlineLevel="1">
      <c r="D63" s="262" t="s">
        <v>485</v>
      </c>
      <c r="E63" s="262" t="s">
        <v>486</v>
      </c>
      <c r="F63" s="363">
        <f>F8</f>
        <v>0</v>
      </c>
      <c r="G63" s="363">
        <f>G60+G61-G62</f>
        <v>100000</v>
      </c>
      <c r="H63" s="363">
        <f t="shared" ref="H63:K63" si="64">H60+H61-H62</f>
        <v>190000</v>
      </c>
      <c r="I63" s="363">
        <f t="shared" si="64"/>
        <v>271000</v>
      </c>
      <c r="J63" s="363">
        <f t="shared" si="64"/>
        <v>343900</v>
      </c>
      <c r="K63" s="363">
        <f t="shared" si="64"/>
        <v>409510</v>
      </c>
      <c r="L63" s="363">
        <f t="shared" ref="L63" si="65">L60+L61-L62</f>
        <v>468559</v>
      </c>
      <c r="M63" s="363">
        <f>M60+M61-M62</f>
        <v>521703.1</v>
      </c>
      <c r="N63" s="363">
        <f>N60+N61-N62</f>
        <v>569532.79</v>
      </c>
      <c r="O63" s="363">
        <f>O60+O61-O62</f>
        <v>612579.51100000006</v>
      </c>
      <c r="P63" s="363">
        <f>P60+P61-P62</f>
        <v>651321.55989999999</v>
      </c>
    </row>
    <row r="64" spans="4:16">
      <c r="D64" s="262" t="s">
        <v>16</v>
      </c>
      <c r="E64" s="262" t="s">
        <v>17</v>
      </c>
      <c r="F64" s="368">
        <f>F68</f>
        <v>0</v>
      </c>
      <c r="G64" s="368">
        <f t="shared" ref="G64:K64" si="66">G68</f>
        <v>0</v>
      </c>
      <c r="H64" s="368">
        <f t="shared" si="66"/>
        <v>0</v>
      </c>
      <c r="I64" s="368">
        <f t="shared" si="66"/>
        <v>0</v>
      </c>
      <c r="J64" s="368">
        <f t="shared" si="66"/>
        <v>0</v>
      </c>
      <c r="K64" s="368">
        <f t="shared" si="66"/>
        <v>0</v>
      </c>
      <c r="L64" s="368">
        <f t="shared" ref="L64" si="67">L68</f>
        <v>0</v>
      </c>
      <c r="M64" s="368"/>
      <c r="N64" s="368"/>
      <c r="O64" s="368"/>
      <c r="P64" s="368"/>
    </row>
    <row r="65" spans="4:16" outlineLevel="1">
      <c r="D65" s="262" t="s">
        <v>482</v>
      </c>
      <c r="E65" s="262" t="s">
        <v>483</v>
      </c>
      <c r="F65" s="368"/>
      <c r="G65" s="368">
        <v>0</v>
      </c>
      <c r="H65" s="368">
        <f t="shared" ref="H65:L65" si="68">G68</f>
        <v>0</v>
      </c>
      <c r="I65" s="368">
        <f t="shared" si="68"/>
        <v>0</v>
      </c>
      <c r="J65" s="368">
        <f t="shared" si="68"/>
        <v>0</v>
      </c>
      <c r="K65" s="368">
        <f t="shared" si="68"/>
        <v>0</v>
      </c>
      <c r="L65" s="368">
        <f t="shared" si="68"/>
        <v>0</v>
      </c>
      <c r="M65" s="368">
        <f>L68</f>
        <v>0</v>
      </c>
      <c r="N65" s="368">
        <f>M68</f>
        <v>0</v>
      </c>
      <c r="O65" s="368">
        <f>N68</f>
        <v>0</v>
      </c>
      <c r="P65" s="368">
        <f>O68</f>
        <v>0</v>
      </c>
    </row>
    <row r="66" spans="4:16" outlineLevel="1">
      <c r="D66" s="374" t="s">
        <v>475</v>
      </c>
      <c r="E66" s="374" t="s">
        <v>475</v>
      </c>
      <c r="F66" s="273">
        <f>F50</f>
        <v>0</v>
      </c>
      <c r="G66" s="273">
        <f>G50</f>
        <v>0</v>
      </c>
      <c r="H66" s="273">
        <v>0</v>
      </c>
      <c r="I66" s="273">
        <v>0</v>
      </c>
      <c r="J66" s="273">
        <v>0</v>
      </c>
      <c r="K66" s="273">
        <v>0</v>
      </c>
      <c r="L66" s="273">
        <v>0</v>
      </c>
      <c r="M66" s="273">
        <v>0</v>
      </c>
      <c r="N66" s="273">
        <v>0</v>
      </c>
      <c r="O66" s="273">
        <v>0</v>
      </c>
      <c r="P66" s="273">
        <v>0</v>
      </c>
    </row>
    <row r="67" spans="4:16" outlineLevel="1">
      <c r="D67" s="374" t="s">
        <v>243</v>
      </c>
      <c r="E67" s="374" t="s">
        <v>484</v>
      </c>
      <c r="F67" s="273">
        <f>F31</f>
        <v>0</v>
      </c>
      <c r="G67" s="273">
        <f>$F$20*G65</f>
        <v>0</v>
      </c>
      <c r="H67" s="273">
        <f t="shared" ref="H67:K67" si="69">$F$20*H65</f>
        <v>0</v>
      </c>
      <c r="I67" s="273">
        <f t="shared" si="69"/>
        <v>0</v>
      </c>
      <c r="J67" s="273">
        <f t="shared" si="69"/>
        <v>0</v>
      </c>
      <c r="K67" s="273">
        <f t="shared" si="69"/>
        <v>0</v>
      </c>
      <c r="L67" s="273">
        <f t="shared" ref="L67" si="70">$F$20*L65</f>
        <v>0</v>
      </c>
      <c r="M67" s="273">
        <f>$F$20*M65</f>
        <v>0</v>
      </c>
      <c r="N67" s="273">
        <f>$F$20*N65</f>
        <v>0</v>
      </c>
      <c r="O67" s="273">
        <f>$F$20*O65</f>
        <v>0</v>
      </c>
      <c r="P67" s="273">
        <f>$F$20*P65</f>
        <v>0</v>
      </c>
    </row>
    <row r="68" spans="4:16" outlineLevel="1">
      <c r="D68" s="262" t="s">
        <v>485</v>
      </c>
      <c r="E68" s="262" t="s">
        <v>486</v>
      </c>
      <c r="F68" s="363">
        <f>F9</f>
        <v>0</v>
      </c>
      <c r="G68" s="363">
        <f>G65+G66-G67</f>
        <v>0</v>
      </c>
      <c r="H68" s="363">
        <f t="shared" ref="H68" si="71">H65+H66-H67</f>
        <v>0</v>
      </c>
      <c r="I68" s="363">
        <f t="shared" ref="I68" si="72">I65+I66-I67</f>
        <v>0</v>
      </c>
      <c r="J68" s="363">
        <f t="shared" ref="J68" si="73">J65+J66-J67</f>
        <v>0</v>
      </c>
      <c r="K68" s="363">
        <f t="shared" ref="K68:L68" si="74">K65+K66-K67</f>
        <v>0</v>
      </c>
      <c r="L68" s="363">
        <f t="shared" si="74"/>
        <v>0</v>
      </c>
      <c r="M68" s="363">
        <f>M65+M66-M67</f>
        <v>0</v>
      </c>
      <c r="N68" s="363">
        <f>N65+N66-N67</f>
        <v>0</v>
      </c>
      <c r="O68" s="363">
        <f>O65+O66-O67</f>
        <v>0</v>
      </c>
      <c r="P68" s="363">
        <f>P65+P66-P67</f>
        <v>0</v>
      </c>
    </row>
    <row r="69" spans="4:16">
      <c r="D69" s="262" t="s">
        <v>487</v>
      </c>
      <c r="E69" s="262" t="s">
        <v>488</v>
      </c>
      <c r="F69" s="368">
        <f>F73</f>
        <v>0</v>
      </c>
      <c r="G69" s="368">
        <f>G73</f>
        <v>68800000</v>
      </c>
      <c r="H69" s="368">
        <f t="shared" ref="H69:K69" si="75">H73</f>
        <v>68800000</v>
      </c>
      <c r="I69" s="368">
        <f t="shared" si="75"/>
        <v>68800000</v>
      </c>
      <c r="J69" s="368">
        <f t="shared" si="75"/>
        <v>68800000</v>
      </c>
      <c r="K69" s="368">
        <f t="shared" si="75"/>
        <v>68800000</v>
      </c>
      <c r="L69" s="368">
        <f t="shared" ref="L69" si="76">L73</f>
        <v>68800000</v>
      </c>
      <c r="M69" s="368"/>
      <c r="N69" s="368"/>
      <c r="O69" s="368"/>
      <c r="P69" s="368"/>
    </row>
    <row r="70" spans="4:16" outlineLevel="1">
      <c r="D70" s="262" t="s">
        <v>482</v>
      </c>
      <c r="E70" s="262" t="s">
        <v>483</v>
      </c>
      <c r="F70" s="368"/>
      <c r="G70" s="368">
        <v>0</v>
      </c>
      <c r="H70" s="368">
        <f t="shared" ref="H70:L70" si="77">G73</f>
        <v>68800000</v>
      </c>
      <c r="I70" s="368">
        <f t="shared" si="77"/>
        <v>68800000</v>
      </c>
      <c r="J70" s="368">
        <f t="shared" si="77"/>
        <v>68800000</v>
      </c>
      <c r="K70" s="368">
        <f t="shared" si="77"/>
        <v>68800000</v>
      </c>
      <c r="L70" s="368">
        <f t="shared" si="77"/>
        <v>68800000</v>
      </c>
      <c r="M70" s="368">
        <f>L73</f>
        <v>68800000</v>
      </c>
      <c r="N70" s="368">
        <f>M73</f>
        <v>68800000</v>
      </c>
      <c r="O70" s="368">
        <f>N73</f>
        <v>68800000</v>
      </c>
      <c r="P70" s="368">
        <f>O73</f>
        <v>68800000</v>
      </c>
    </row>
    <row r="71" spans="4:16" outlineLevel="1">
      <c r="D71" s="374" t="s">
        <v>475</v>
      </c>
      <c r="E71" s="374" t="s">
        <v>475</v>
      </c>
      <c r="F71" s="273">
        <f>F45</f>
        <v>0</v>
      </c>
      <c r="G71" s="273">
        <f t="shared" ref="G71:K71" si="78">G45</f>
        <v>68800000</v>
      </c>
      <c r="H71" s="273">
        <f t="shared" si="78"/>
        <v>0</v>
      </c>
      <c r="I71" s="273">
        <f t="shared" si="78"/>
        <v>0</v>
      </c>
      <c r="J71" s="273">
        <f t="shared" si="78"/>
        <v>0</v>
      </c>
      <c r="K71" s="273">
        <f t="shared" si="78"/>
        <v>0</v>
      </c>
      <c r="L71" s="273">
        <f t="shared" ref="L71" si="79">L45</f>
        <v>0</v>
      </c>
      <c r="M71" s="273">
        <f>M45</f>
        <v>0</v>
      </c>
      <c r="N71" s="273">
        <f>N45</f>
        <v>0</v>
      </c>
      <c r="O71" s="273">
        <f>O45</f>
        <v>0</v>
      </c>
      <c r="P71" s="273">
        <f>P45</f>
        <v>0</v>
      </c>
    </row>
    <row r="72" spans="4:16" outlineLevel="1">
      <c r="D72" s="374" t="s">
        <v>243</v>
      </c>
      <c r="E72" s="374" t="s">
        <v>484</v>
      </c>
      <c r="F72" s="273">
        <f>F33</f>
        <v>0</v>
      </c>
      <c r="G72" s="273">
        <f>$F$22*G70</f>
        <v>0</v>
      </c>
      <c r="H72" s="273">
        <f t="shared" ref="H72:K72" si="80">$F$22*H70</f>
        <v>0</v>
      </c>
      <c r="I72" s="273">
        <f t="shared" si="80"/>
        <v>0</v>
      </c>
      <c r="J72" s="273">
        <f t="shared" si="80"/>
        <v>0</v>
      </c>
      <c r="K72" s="273">
        <f t="shared" si="80"/>
        <v>0</v>
      </c>
      <c r="L72" s="273">
        <f t="shared" ref="L72" si="81">$F$22*L70</f>
        <v>0</v>
      </c>
      <c r="M72" s="273">
        <f>$F$22*M70</f>
        <v>0</v>
      </c>
      <c r="N72" s="273">
        <f>$F$22*N70</f>
        <v>0</v>
      </c>
      <c r="O72" s="273">
        <f>$F$22*O70</f>
        <v>0</v>
      </c>
      <c r="P72" s="273">
        <f>$F$22*P70</f>
        <v>0</v>
      </c>
    </row>
    <row r="73" spans="4:16" outlineLevel="1">
      <c r="D73" s="262" t="s">
        <v>485</v>
      </c>
      <c r="E73" s="262" t="s">
        <v>486</v>
      </c>
      <c r="F73" s="363">
        <f>F11</f>
        <v>0</v>
      </c>
      <c r="G73" s="363">
        <f>G70+G71-G72</f>
        <v>68800000</v>
      </c>
      <c r="H73" s="363">
        <f t="shared" ref="H73" si="82">H70+H71-H72</f>
        <v>68800000</v>
      </c>
      <c r="I73" s="363">
        <f t="shared" ref="I73" si="83">I70+I71-I72</f>
        <v>68800000</v>
      </c>
      <c r="J73" s="363">
        <f t="shared" ref="J73" si="84">J70+J71-J72</f>
        <v>68800000</v>
      </c>
      <c r="K73" s="363">
        <f t="shared" ref="K73:L73" si="85">K70+K71-K72</f>
        <v>68800000</v>
      </c>
      <c r="L73" s="363">
        <f t="shared" si="85"/>
        <v>68800000</v>
      </c>
      <c r="M73" s="363">
        <f>M70+M71-M72</f>
        <v>68800000</v>
      </c>
      <c r="N73" s="363">
        <f>N70+N71-N72</f>
        <v>68800000</v>
      </c>
      <c r="O73" s="363">
        <f>O70+O71-O72</f>
        <v>68800000</v>
      </c>
      <c r="P73" s="363">
        <f>P70+P71-P72</f>
        <v>68800000</v>
      </c>
    </row>
    <row r="74" spans="4:16">
      <c r="D74" s="262" t="s">
        <v>489</v>
      </c>
      <c r="E74" s="262" t="s">
        <v>490</v>
      </c>
      <c r="F74" s="368">
        <f>F78</f>
        <v>0</v>
      </c>
      <c r="G74" s="368">
        <f t="shared" ref="G74:K74" si="86">G78</f>
        <v>531000000</v>
      </c>
      <c r="H74" s="368">
        <f t="shared" si="86"/>
        <v>504450000</v>
      </c>
      <c r="I74" s="368">
        <f t="shared" si="86"/>
        <v>479227500</v>
      </c>
      <c r="J74" s="368">
        <f t="shared" si="86"/>
        <v>455266125</v>
      </c>
      <c r="K74" s="368">
        <f t="shared" si="86"/>
        <v>432502818.75</v>
      </c>
      <c r="L74" s="368">
        <f t="shared" ref="L74" si="87">L78</f>
        <v>410877677.8125</v>
      </c>
      <c r="M74" s="368"/>
      <c r="N74" s="368"/>
      <c r="O74" s="368"/>
      <c r="P74" s="368"/>
    </row>
    <row r="75" spans="4:16" outlineLevel="1">
      <c r="D75" s="262" t="s">
        <v>482</v>
      </c>
      <c r="E75" s="262" t="s">
        <v>483</v>
      </c>
      <c r="F75" s="368"/>
      <c r="G75" s="368">
        <v>0</v>
      </c>
      <c r="H75" s="368">
        <f t="shared" ref="H75:L75" si="88">G78</f>
        <v>531000000</v>
      </c>
      <c r="I75" s="368">
        <f t="shared" si="88"/>
        <v>504450000</v>
      </c>
      <c r="J75" s="368">
        <f t="shared" si="88"/>
        <v>479227500</v>
      </c>
      <c r="K75" s="368">
        <f t="shared" si="88"/>
        <v>455266125</v>
      </c>
      <c r="L75" s="368">
        <f t="shared" si="88"/>
        <v>432502818.75</v>
      </c>
      <c r="M75" s="368">
        <f>L78</f>
        <v>410877677.8125</v>
      </c>
      <c r="N75" s="368">
        <f>M78</f>
        <v>390333793.921875</v>
      </c>
      <c r="O75" s="368">
        <f>N78</f>
        <v>370817104.22578126</v>
      </c>
      <c r="P75" s="368">
        <f>O78</f>
        <v>352276249.01449221</v>
      </c>
    </row>
    <row r="76" spans="4:16" outlineLevel="1">
      <c r="D76" s="374" t="s">
        <v>475</v>
      </c>
      <c r="E76" s="374" t="s">
        <v>475</v>
      </c>
      <c r="F76" s="273">
        <f>F46</f>
        <v>0</v>
      </c>
      <c r="G76" s="273">
        <f t="shared" ref="G76:K76" si="89">G46</f>
        <v>531000000</v>
      </c>
      <c r="H76" s="273">
        <v>0</v>
      </c>
      <c r="I76" s="273">
        <f t="shared" si="89"/>
        <v>0</v>
      </c>
      <c r="J76" s="273">
        <f t="shared" si="89"/>
        <v>0</v>
      </c>
      <c r="K76" s="273">
        <f t="shared" si="89"/>
        <v>0</v>
      </c>
      <c r="L76" s="273">
        <f t="shared" ref="L76" si="90">L46</f>
        <v>0</v>
      </c>
      <c r="M76" s="273">
        <f>M46</f>
        <v>0</v>
      </c>
      <c r="N76" s="273">
        <f>N46</f>
        <v>0</v>
      </c>
      <c r="O76" s="273">
        <f>O46</f>
        <v>0</v>
      </c>
      <c r="P76" s="273">
        <f>P46</f>
        <v>0</v>
      </c>
    </row>
    <row r="77" spans="4:16" outlineLevel="1">
      <c r="D77" s="374" t="s">
        <v>243</v>
      </c>
      <c r="E77" s="374" t="s">
        <v>484</v>
      </c>
      <c r="F77" s="273">
        <f>F34</f>
        <v>0</v>
      </c>
      <c r="G77" s="273">
        <f>$F$23*G75</f>
        <v>0</v>
      </c>
      <c r="H77" s="273">
        <f>$F$23*H75</f>
        <v>26550000</v>
      </c>
      <c r="I77" s="273">
        <f t="shared" ref="I77:K77" si="91">$F$23*I75</f>
        <v>25222500</v>
      </c>
      <c r="J77" s="273">
        <f t="shared" si="91"/>
        <v>23961375</v>
      </c>
      <c r="K77" s="273">
        <f t="shared" si="91"/>
        <v>22763306.25</v>
      </c>
      <c r="L77" s="273">
        <f t="shared" ref="L77" si="92">$F$23*L75</f>
        <v>21625140.9375</v>
      </c>
      <c r="M77" s="273">
        <f>$F$23*M75</f>
        <v>20543883.890625</v>
      </c>
      <c r="N77" s="273">
        <f>$F$23*N75</f>
        <v>19516689.696093749</v>
      </c>
      <c r="O77" s="273">
        <f>$F$23*O75</f>
        <v>18540855.211289063</v>
      </c>
      <c r="P77" s="273">
        <f>$F$23*P75</f>
        <v>17613812.450724613</v>
      </c>
    </row>
    <row r="78" spans="4:16" outlineLevel="1">
      <c r="D78" s="262" t="s">
        <v>485</v>
      </c>
      <c r="E78" s="262" t="s">
        <v>486</v>
      </c>
      <c r="F78" s="363">
        <f>F12</f>
        <v>0</v>
      </c>
      <c r="G78" s="363">
        <f>G75+G76-G77</f>
        <v>531000000</v>
      </c>
      <c r="H78" s="363">
        <f t="shared" ref="H78" si="93">H75+H76-H77</f>
        <v>504450000</v>
      </c>
      <c r="I78" s="363">
        <f t="shared" ref="I78" si="94">I75+I76-I77</f>
        <v>479227500</v>
      </c>
      <c r="J78" s="363">
        <f t="shared" ref="J78" si="95">J75+J76-J77</f>
        <v>455266125</v>
      </c>
      <c r="K78" s="363">
        <f t="shared" ref="K78:L78" si="96">K75+K76-K77</f>
        <v>432502818.75</v>
      </c>
      <c r="L78" s="363">
        <f t="shared" si="96"/>
        <v>410877677.8125</v>
      </c>
      <c r="M78" s="363">
        <f>M75+M76-M77</f>
        <v>390333793.921875</v>
      </c>
      <c r="N78" s="363">
        <f>N75+N76-N77</f>
        <v>370817104.22578126</v>
      </c>
      <c r="O78" s="363">
        <f>O75+O76-O77</f>
        <v>352276249.01449221</v>
      </c>
      <c r="P78" s="363">
        <f>P75+P76-P77</f>
        <v>334662436.56376761</v>
      </c>
    </row>
    <row r="79" spans="4:16">
      <c r="D79" s="262" t="s">
        <v>491</v>
      </c>
      <c r="E79" s="262" t="s">
        <v>492</v>
      </c>
      <c r="F79" s="368">
        <f>F83</f>
        <v>0</v>
      </c>
      <c r="G79" s="368">
        <f t="shared" ref="G79:K79" si="97">G83</f>
        <v>3072000000</v>
      </c>
      <c r="H79" s="368">
        <f t="shared" si="97"/>
        <v>2532600000</v>
      </c>
      <c r="I79" s="368">
        <f t="shared" si="97"/>
        <v>2101080000</v>
      </c>
      <c r="J79" s="368">
        <f t="shared" si="97"/>
        <v>1755864000</v>
      </c>
      <c r="K79" s="368">
        <f t="shared" si="97"/>
        <v>1679691200</v>
      </c>
      <c r="L79" s="368">
        <f t="shared" ref="L79" si="98">L83</f>
        <v>1818752960</v>
      </c>
      <c r="M79" s="368"/>
      <c r="N79" s="368"/>
      <c r="O79" s="368"/>
      <c r="P79" s="368"/>
    </row>
    <row r="80" spans="4:16" outlineLevel="1">
      <c r="D80" s="262" t="s">
        <v>482</v>
      </c>
      <c r="E80" s="262" t="s">
        <v>483</v>
      </c>
      <c r="F80" s="368"/>
      <c r="G80" s="368">
        <v>0</v>
      </c>
      <c r="H80" s="368">
        <f t="shared" ref="H80:L80" si="99">G83</f>
        <v>3072000000</v>
      </c>
      <c r="I80" s="368">
        <f t="shared" si="99"/>
        <v>2532600000</v>
      </c>
      <c r="J80" s="368">
        <f t="shared" si="99"/>
        <v>2101080000</v>
      </c>
      <c r="K80" s="368">
        <f t="shared" si="99"/>
        <v>1755864000</v>
      </c>
      <c r="L80" s="368">
        <f t="shared" si="99"/>
        <v>1679691200</v>
      </c>
      <c r="M80" s="368">
        <f>L83</f>
        <v>1818752960</v>
      </c>
      <c r="N80" s="368">
        <f>M83</f>
        <v>1530002368</v>
      </c>
      <c r="O80" s="368">
        <f>N83</f>
        <v>1299001894.4000001</v>
      </c>
      <c r="P80" s="368">
        <f>O83</f>
        <v>1114201515.52</v>
      </c>
    </row>
    <row r="81" spans="4:16" outlineLevel="1">
      <c r="D81" s="374" t="s">
        <v>475</v>
      </c>
      <c r="E81" s="374" t="s">
        <v>475</v>
      </c>
      <c r="F81" s="273">
        <f>F47</f>
        <v>0</v>
      </c>
      <c r="G81" s="273">
        <f>G47</f>
        <v>3072000000</v>
      </c>
      <c r="H81" s="273">
        <f>H47+H50+H51</f>
        <v>75000000</v>
      </c>
      <c r="I81" s="273">
        <f t="shared" ref="I81:L81" si="100">I47+I50+I51</f>
        <v>75000000</v>
      </c>
      <c r="J81" s="273">
        <f t="shared" si="100"/>
        <v>75000000</v>
      </c>
      <c r="K81" s="273">
        <f t="shared" si="100"/>
        <v>275000000</v>
      </c>
      <c r="L81" s="273">
        <f t="shared" si="100"/>
        <v>475000000</v>
      </c>
      <c r="M81" s="273">
        <f>M47+M50+M51</f>
        <v>75000000</v>
      </c>
      <c r="N81" s="273">
        <f>N47+N50+N51</f>
        <v>75000000</v>
      </c>
      <c r="O81" s="273">
        <f>O47+O50+O51</f>
        <v>75000000</v>
      </c>
      <c r="P81" s="273">
        <f>P47+P50+P51</f>
        <v>75000000</v>
      </c>
    </row>
    <row r="82" spans="4:16" outlineLevel="1">
      <c r="D82" s="374" t="s">
        <v>243</v>
      </c>
      <c r="E82" s="374" t="s">
        <v>484</v>
      </c>
      <c r="F82" s="273">
        <f>F35</f>
        <v>0</v>
      </c>
      <c r="G82" s="273">
        <f>$F$24*G80</f>
        <v>0</v>
      </c>
      <c r="H82" s="273">
        <f t="shared" ref="H82:K82" si="101">$F$24*H80</f>
        <v>614400000</v>
      </c>
      <c r="I82" s="273">
        <f>$F$24*I80</f>
        <v>506520000</v>
      </c>
      <c r="J82" s="273">
        <f t="shared" si="101"/>
        <v>420216000</v>
      </c>
      <c r="K82" s="273">
        <f t="shared" si="101"/>
        <v>351172800</v>
      </c>
      <c r="L82" s="273">
        <f t="shared" ref="L82" si="102">$F$24*L80</f>
        <v>335938240</v>
      </c>
      <c r="M82" s="273">
        <f>$F$24*M80</f>
        <v>363750592</v>
      </c>
      <c r="N82" s="273">
        <f>$F$24*N80</f>
        <v>306000473.60000002</v>
      </c>
      <c r="O82" s="273">
        <f>$F$24*O80</f>
        <v>259800378.88000003</v>
      </c>
      <c r="P82" s="273">
        <f>$F$24*P80</f>
        <v>222840303.104</v>
      </c>
    </row>
    <row r="83" spans="4:16" outlineLevel="1">
      <c r="D83" s="262" t="s">
        <v>485</v>
      </c>
      <c r="E83" s="262" t="s">
        <v>486</v>
      </c>
      <c r="F83" s="363">
        <f>F13</f>
        <v>0</v>
      </c>
      <c r="G83" s="363">
        <f>G80+G81-G82</f>
        <v>3072000000</v>
      </c>
      <c r="H83" s="363">
        <f t="shared" ref="H83" si="103">H80+H81-H82</f>
        <v>2532600000</v>
      </c>
      <c r="I83" s="363">
        <f t="shared" ref="I83" si="104">I80+I81-I82</f>
        <v>2101080000</v>
      </c>
      <c r="J83" s="363">
        <f t="shared" ref="J83" si="105">J80+J81-J82</f>
        <v>1755864000</v>
      </c>
      <c r="K83" s="363">
        <f t="shared" ref="K83:L83" si="106">K80+K81-K82</f>
        <v>1679691200</v>
      </c>
      <c r="L83" s="363">
        <f t="shared" si="106"/>
        <v>1818752960</v>
      </c>
      <c r="M83" s="363">
        <f>M80+M81-M82</f>
        <v>1530002368</v>
      </c>
      <c r="N83" s="363">
        <f>N80+N81-N82</f>
        <v>1299001894.4000001</v>
      </c>
      <c r="O83" s="363">
        <f>O80+O81-O82</f>
        <v>1114201515.52</v>
      </c>
      <c r="P83" s="363">
        <f>P80+P81-P82</f>
        <v>966361212.41600001</v>
      </c>
    </row>
    <row r="84" spans="4:16">
      <c r="D84" s="262" t="s">
        <v>493</v>
      </c>
      <c r="E84" s="262" t="s">
        <v>494</v>
      </c>
      <c r="F84" s="368">
        <f>F88</f>
        <v>0</v>
      </c>
      <c r="G84" s="368">
        <f t="shared" ref="G84:K84" si="107">G88</f>
        <v>100000</v>
      </c>
      <c r="H84" s="368">
        <f t="shared" si="107"/>
        <v>70000</v>
      </c>
      <c r="I84" s="368">
        <f t="shared" si="107"/>
        <v>49000</v>
      </c>
      <c r="J84" s="368">
        <f t="shared" si="107"/>
        <v>34300</v>
      </c>
      <c r="K84" s="368">
        <f t="shared" si="107"/>
        <v>24010</v>
      </c>
      <c r="L84" s="368">
        <f t="shared" ref="L84" si="108">L88</f>
        <v>16807</v>
      </c>
      <c r="M84" s="368"/>
      <c r="N84" s="368"/>
      <c r="O84" s="368"/>
      <c r="P84" s="368"/>
    </row>
    <row r="85" spans="4:16" outlineLevel="1">
      <c r="D85" s="262" t="s">
        <v>482</v>
      </c>
      <c r="E85" s="262" t="s">
        <v>483</v>
      </c>
      <c r="F85" s="368"/>
      <c r="G85" s="368">
        <v>0</v>
      </c>
      <c r="H85" s="368">
        <f t="shared" ref="H85:L85" si="109">G88</f>
        <v>100000</v>
      </c>
      <c r="I85" s="368">
        <f t="shared" si="109"/>
        <v>70000</v>
      </c>
      <c r="J85" s="368">
        <f t="shared" si="109"/>
        <v>49000</v>
      </c>
      <c r="K85" s="368">
        <f t="shared" si="109"/>
        <v>34300</v>
      </c>
      <c r="L85" s="368">
        <f t="shared" si="109"/>
        <v>24010</v>
      </c>
      <c r="M85" s="368">
        <f>L88</f>
        <v>16807</v>
      </c>
      <c r="N85" s="368">
        <f>M88</f>
        <v>11764.900000000001</v>
      </c>
      <c r="O85" s="368">
        <f>N88</f>
        <v>8235.43</v>
      </c>
      <c r="P85" s="368">
        <f>O88</f>
        <v>5764.8010000000004</v>
      </c>
    </row>
    <row r="86" spans="4:16" outlineLevel="1">
      <c r="D86" s="374" t="s">
        <v>475</v>
      </c>
      <c r="E86" s="374" t="s">
        <v>475</v>
      </c>
      <c r="F86" s="273">
        <f>F48</f>
        <v>0</v>
      </c>
      <c r="G86" s="273">
        <f t="shared" ref="G86:K86" si="110">G48</f>
        <v>100000</v>
      </c>
      <c r="H86" s="273">
        <f t="shared" si="110"/>
        <v>0</v>
      </c>
      <c r="I86" s="273">
        <f t="shared" si="110"/>
        <v>0</v>
      </c>
      <c r="J86" s="273">
        <f t="shared" si="110"/>
        <v>0</v>
      </c>
      <c r="K86" s="273">
        <f t="shared" si="110"/>
        <v>0</v>
      </c>
      <c r="L86" s="273">
        <f t="shared" ref="L86" si="111">L48</f>
        <v>0</v>
      </c>
      <c r="M86" s="273">
        <f>M48</f>
        <v>0</v>
      </c>
      <c r="N86" s="273">
        <f>N48</f>
        <v>0</v>
      </c>
      <c r="O86" s="273">
        <f>O48</f>
        <v>0</v>
      </c>
      <c r="P86" s="273">
        <f>P48</f>
        <v>0</v>
      </c>
    </row>
    <row r="87" spans="4:16" outlineLevel="1">
      <c r="D87" s="374" t="s">
        <v>243</v>
      </c>
      <c r="E87" s="374" t="s">
        <v>484</v>
      </c>
      <c r="F87" s="273">
        <f>F36</f>
        <v>0</v>
      </c>
      <c r="G87" s="273">
        <f>$F$25*G85</f>
        <v>0</v>
      </c>
      <c r="H87" s="273">
        <f t="shared" ref="H87:K87" si="112">$F$25*H85</f>
        <v>30000</v>
      </c>
      <c r="I87" s="273">
        <f t="shared" si="112"/>
        <v>21000</v>
      </c>
      <c r="J87" s="273">
        <f t="shared" si="112"/>
        <v>14700</v>
      </c>
      <c r="K87" s="273">
        <f t="shared" si="112"/>
        <v>10290</v>
      </c>
      <c r="L87" s="273">
        <f t="shared" ref="L87" si="113">$F$25*L85</f>
        <v>7203</v>
      </c>
      <c r="M87" s="273">
        <f>$F$25*M85</f>
        <v>5042.0999999999995</v>
      </c>
      <c r="N87" s="273">
        <f>$F$25*N85</f>
        <v>3529.4700000000003</v>
      </c>
      <c r="O87" s="273">
        <f>$F$25*O85</f>
        <v>2470.6289999999999</v>
      </c>
      <c r="P87" s="273">
        <f>$F$25*P85</f>
        <v>1729.4403</v>
      </c>
    </row>
    <row r="88" spans="4:16" outlineLevel="1">
      <c r="D88" s="262" t="s">
        <v>485</v>
      </c>
      <c r="E88" s="262" t="s">
        <v>486</v>
      </c>
      <c r="F88" s="363">
        <f>F14</f>
        <v>0</v>
      </c>
      <c r="G88" s="363">
        <f>G85+G86-G87</f>
        <v>100000</v>
      </c>
      <c r="H88" s="363">
        <f t="shared" ref="H88" si="114">H85+H86-H87</f>
        <v>70000</v>
      </c>
      <c r="I88" s="363">
        <f t="shared" ref="I88" si="115">I85+I86-I87</f>
        <v>49000</v>
      </c>
      <c r="J88" s="363">
        <f t="shared" ref="J88" si="116">J85+J86-J87</f>
        <v>34300</v>
      </c>
      <c r="K88" s="363">
        <f t="shared" ref="K88:L88" si="117">K85+K86-K87</f>
        <v>24010</v>
      </c>
      <c r="L88" s="363">
        <f t="shared" si="117"/>
        <v>16807</v>
      </c>
      <c r="M88" s="363">
        <f>M85+M86-M87</f>
        <v>11764.900000000001</v>
      </c>
      <c r="N88" s="363">
        <f>N85+N86-N87</f>
        <v>8235.43</v>
      </c>
      <c r="O88" s="363">
        <f>O85+O86-O87</f>
        <v>5764.8010000000004</v>
      </c>
      <c r="P88" s="363">
        <f>P85+P86-P87</f>
        <v>4035.3607000000002</v>
      </c>
    </row>
    <row r="89" spans="4:16">
      <c r="D89" s="262" t="s">
        <v>495</v>
      </c>
      <c r="E89" s="262" t="s">
        <v>496</v>
      </c>
      <c r="F89" s="368">
        <f>F93</f>
        <v>0</v>
      </c>
      <c r="G89" s="368">
        <f t="shared" ref="G89:K89" si="118">G93</f>
        <v>50000</v>
      </c>
      <c r="H89" s="368">
        <f t="shared" si="118"/>
        <v>35000</v>
      </c>
      <c r="I89" s="368">
        <f t="shared" si="118"/>
        <v>24500</v>
      </c>
      <c r="J89" s="368">
        <f t="shared" si="118"/>
        <v>17150</v>
      </c>
      <c r="K89" s="368">
        <f t="shared" si="118"/>
        <v>12005</v>
      </c>
      <c r="L89" s="368">
        <f t="shared" ref="L89" si="119">L93</f>
        <v>8403.5</v>
      </c>
      <c r="M89" s="368"/>
      <c r="N89" s="368"/>
      <c r="O89" s="368"/>
      <c r="P89" s="368"/>
    </row>
    <row r="90" spans="4:16" outlineLevel="1">
      <c r="D90" s="262" t="s">
        <v>482</v>
      </c>
      <c r="E90" s="262" t="s">
        <v>483</v>
      </c>
      <c r="F90" s="368"/>
      <c r="G90" s="368">
        <v>0</v>
      </c>
      <c r="H90" s="368">
        <f t="shared" ref="H90:L90" si="120">G93</f>
        <v>50000</v>
      </c>
      <c r="I90" s="368">
        <f t="shared" si="120"/>
        <v>35000</v>
      </c>
      <c r="J90" s="368">
        <f t="shared" si="120"/>
        <v>24500</v>
      </c>
      <c r="K90" s="368">
        <f t="shared" si="120"/>
        <v>17150</v>
      </c>
      <c r="L90" s="368">
        <f t="shared" si="120"/>
        <v>12005</v>
      </c>
      <c r="M90" s="368">
        <f>L93</f>
        <v>8403.5</v>
      </c>
      <c r="N90" s="368">
        <f>M93</f>
        <v>5882.4500000000007</v>
      </c>
      <c r="O90" s="368">
        <f>N93</f>
        <v>4117.7150000000001</v>
      </c>
      <c r="P90" s="368">
        <f>O93</f>
        <v>2882.4005000000002</v>
      </c>
    </row>
    <row r="91" spans="4:16" outlineLevel="1">
      <c r="D91" s="374" t="s">
        <v>475</v>
      </c>
      <c r="E91" s="374" t="s">
        <v>475</v>
      </c>
      <c r="F91" s="273">
        <f>F49</f>
        <v>0</v>
      </c>
      <c r="G91" s="273">
        <f t="shared" ref="G91:K91" si="121">G49</f>
        <v>50000</v>
      </c>
      <c r="H91" s="273">
        <f t="shared" si="121"/>
        <v>0</v>
      </c>
      <c r="I91" s="273">
        <f t="shared" si="121"/>
        <v>0</v>
      </c>
      <c r="J91" s="273">
        <f t="shared" si="121"/>
        <v>0</v>
      </c>
      <c r="K91" s="273">
        <f t="shared" si="121"/>
        <v>0</v>
      </c>
      <c r="L91" s="273">
        <f t="shared" ref="L91" si="122">L49</f>
        <v>0</v>
      </c>
      <c r="M91" s="273">
        <f>M49</f>
        <v>0</v>
      </c>
      <c r="N91" s="273">
        <f>N49</f>
        <v>0</v>
      </c>
      <c r="O91" s="273">
        <f>O49</f>
        <v>0</v>
      </c>
      <c r="P91" s="273">
        <f>P49</f>
        <v>0</v>
      </c>
    </row>
    <row r="92" spans="4:16" outlineLevel="1">
      <c r="D92" s="374" t="s">
        <v>243</v>
      </c>
      <c r="E92" s="374" t="s">
        <v>484</v>
      </c>
      <c r="F92" s="273">
        <f>F37</f>
        <v>0</v>
      </c>
      <c r="G92" s="273">
        <f>$F$26*G90</f>
        <v>0</v>
      </c>
      <c r="H92" s="273">
        <f t="shared" ref="H92:K92" si="123">$F$26*H90</f>
        <v>15000</v>
      </c>
      <c r="I92" s="273">
        <f t="shared" si="123"/>
        <v>10500</v>
      </c>
      <c r="J92" s="273">
        <f t="shared" si="123"/>
        <v>7350</v>
      </c>
      <c r="K92" s="273">
        <f t="shared" si="123"/>
        <v>5145</v>
      </c>
      <c r="L92" s="273">
        <f t="shared" ref="L92" si="124">$F$26*L90</f>
        <v>3601.5</v>
      </c>
      <c r="M92" s="273">
        <f>$F$26*M90</f>
        <v>2521.0499999999997</v>
      </c>
      <c r="N92" s="273">
        <f>$F$26*N90</f>
        <v>1764.7350000000001</v>
      </c>
      <c r="O92" s="273">
        <f>$F$26*O90</f>
        <v>1235.3145</v>
      </c>
      <c r="P92" s="273">
        <f>$F$26*P90</f>
        <v>864.72014999999999</v>
      </c>
    </row>
    <row r="93" spans="4:16" outlineLevel="1">
      <c r="D93" s="262" t="s">
        <v>485</v>
      </c>
      <c r="E93" s="262" t="s">
        <v>486</v>
      </c>
      <c r="F93" s="363">
        <f>F15</f>
        <v>0</v>
      </c>
      <c r="G93" s="363">
        <f>G90+G91-G92</f>
        <v>50000</v>
      </c>
      <c r="H93" s="363">
        <f t="shared" ref="H93" si="125">H90+H91-H92</f>
        <v>35000</v>
      </c>
      <c r="I93" s="363">
        <f t="shared" ref="I93" si="126">I90+I91-I92</f>
        <v>24500</v>
      </c>
      <c r="J93" s="363">
        <f t="shared" ref="J93" si="127">J90+J91-J92</f>
        <v>17150</v>
      </c>
      <c r="K93" s="363">
        <f t="shared" ref="K93:L93" si="128">K90+K91-K92</f>
        <v>12005</v>
      </c>
      <c r="L93" s="363">
        <f t="shared" si="128"/>
        <v>8403.5</v>
      </c>
      <c r="M93" s="363">
        <f>M90+M91-M92</f>
        <v>5882.4500000000007</v>
      </c>
      <c r="N93" s="363">
        <f>N90+N91-N92</f>
        <v>4117.7150000000001</v>
      </c>
      <c r="O93" s="363">
        <f>O90+O91-O92</f>
        <v>2882.4005000000002</v>
      </c>
      <c r="P93" s="363">
        <f>P90+P91-P92</f>
        <v>2017.6803500000001</v>
      </c>
    </row>
  </sheetData>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7">
    <tabColor rgb="FF00B050"/>
  </sheetPr>
  <dimension ref="A1:AP37"/>
  <sheetViews>
    <sheetView showGridLines="0" zoomScale="115" zoomScaleNormal="115" workbookViewId="0"/>
  </sheetViews>
  <sheetFormatPr defaultColWidth="9" defaultRowHeight="12.75"/>
  <cols>
    <col min="1" max="1" width="38.125" style="1" bestFit="1" customWidth="1"/>
    <col min="2" max="2" width="9" style="1"/>
    <col min="3" max="3" width="16.625" style="1" customWidth="1"/>
    <col min="4" max="4" width="14.625" style="1" customWidth="1"/>
    <col min="5" max="5" width="14.375" style="1" customWidth="1"/>
    <col min="6" max="6" width="15" style="1" customWidth="1"/>
    <col min="7" max="7" width="12.5" style="1" customWidth="1"/>
    <col min="8" max="8" width="12.75" style="1" customWidth="1"/>
    <col min="9" max="9" width="10.75" style="1" bestFit="1" customWidth="1"/>
    <col min="10" max="10" width="12.25" style="1" bestFit="1" customWidth="1"/>
    <col min="11" max="13" width="10.75" style="1" bestFit="1" customWidth="1"/>
    <col min="14" max="14" width="11.375" style="1" bestFit="1" customWidth="1"/>
    <col min="15" max="17" width="10.75" style="1" bestFit="1" customWidth="1"/>
    <col min="18" max="18" width="11.375" style="1" bestFit="1" customWidth="1"/>
    <col min="19" max="21" width="10.75" style="1" bestFit="1" customWidth="1"/>
    <col min="22" max="22" width="11.375" style="1" bestFit="1" customWidth="1"/>
    <col min="23" max="25" width="10.75" style="1" bestFit="1" customWidth="1"/>
    <col min="26" max="26" width="11.375" style="1" bestFit="1" customWidth="1"/>
    <col min="27" max="29" width="10.75" style="1" bestFit="1" customWidth="1"/>
    <col min="30" max="30" width="11.375" style="1" bestFit="1" customWidth="1"/>
    <col min="31" max="33" width="10.75" style="1" bestFit="1" customWidth="1"/>
    <col min="34" max="34" width="11.375" style="1" bestFit="1" customWidth="1"/>
    <col min="35" max="37" width="10.75" style="1" bestFit="1" customWidth="1"/>
    <col min="38" max="38" width="11.375" style="1" bestFit="1" customWidth="1"/>
    <col min="39" max="41" width="10.75" style="1" bestFit="1" customWidth="1"/>
    <col min="42" max="42" width="11.375" style="1" bestFit="1" customWidth="1"/>
    <col min="43" max="16384" width="9" style="1"/>
  </cols>
  <sheetData>
    <row r="1" spans="1:42">
      <c r="G1" s="16"/>
      <c r="H1" s="16"/>
    </row>
    <row r="2" spans="1:42">
      <c r="C2" s="382">
        <v>2026</v>
      </c>
      <c r="D2" s="383"/>
      <c r="E2" s="383"/>
      <c r="F2" s="384"/>
      <c r="G2" s="382">
        <v>2027</v>
      </c>
      <c r="H2" s="383"/>
      <c r="I2" s="383"/>
      <c r="J2" s="384"/>
      <c r="K2" s="382">
        <v>2028</v>
      </c>
      <c r="L2" s="383"/>
      <c r="M2" s="383"/>
      <c r="N2" s="384"/>
      <c r="O2" s="382">
        <v>2029</v>
      </c>
      <c r="P2" s="383"/>
      <c r="Q2" s="383"/>
      <c r="R2" s="384"/>
      <c r="S2" s="382">
        <v>2030</v>
      </c>
      <c r="T2" s="383"/>
      <c r="U2" s="383"/>
      <c r="V2" s="384"/>
      <c r="W2" s="382">
        <v>2031</v>
      </c>
      <c r="X2" s="383"/>
      <c r="Y2" s="383"/>
      <c r="Z2" s="384"/>
      <c r="AA2" s="382"/>
      <c r="AB2" s="383"/>
      <c r="AC2" s="383"/>
      <c r="AD2" s="384"/>
      <c r="AE2" s="382"/>
      <c r="AF2" s="383"/>
      <c r="AG2" s="383"/>
      <c r="AH2" s="384"/>
      <c r="AI2" s="382"/>
      <c r="AJ2" s="383"/>
      <c r="AK2" s="383"/>
      <c r="AL2" s="384"/>
      <c r="AM2" s="382"/>
      <c r="AN2" s="383"/>
      <c r="AO2" s="383"/>
      <c r="AP2" s="384"/>
    </row>
    <row r="3" spans="1:42">
      <c r="C3" s="25" t="s">
        <v>497</v>
      </c>
      <c r="D3" s="25" t="s">
        <v>498</v>
      </c>
      <c r="E3" s="25" t="s">
        <v>499</v>
      </c>
      <c r="F3" s="25" t="s">
        <v>500</v>
      </c>
      <c r="G3" s="25" t="s">
        <v>497</v>
      </c>
      <c r="H3" s="25" t="s">
        <v>498</v>
      </c>
      <c r="I3" s="25" t="s">
        <v>499</v>
      </c>
      <c r="J3" s="25" t="s">
        <v>500</v>
      </c>
      <c r="K3" s="25" t="s">
        <v>497</v>
      </c>
      <c r="L3" s="25" t="s">
        <v>498</v>
      </c>
      <c r="M3" s="25" t="s">
        <v>499</v>
      </c>
      <c r="N3" s="25" t="s">
        <v>500</v>
      </c>
      <c r="O3" s="25" t="s">
        <v>497</v>
      </c>
      <c r="P3" s="25" t="s">
        <v>498</v>
      </c>
      <c r="Q3" s="25" t="s">
        <v>499</v>
      </c>
      <c r="R3" s="25" t="s">
        <v>500</v>
      </c>
      <c r="S3" s="25" t="s">
        <v>497</v>
      </c>
      <c r="T3" s="25" t="s">
        <v>498</v>
      </c>
      <c r="U3" s="25" t="s">
        <v>499</v>
      </c>
      <c r="V3" s="25" t="s">
        <v>500</v>
      </c>
      <c r="W3" s="25" t="s">
        <v>497</v>
      </c>
      <c r="X3" s="25" t="s">
        <v>498</v>
      </c>
      <c r="Y3" s="25" t="s">
        <v>499</v>
      </c>
      <c r="Z3" s="25" t="s">
        <v>500</v>
      </c>
      <c r="AA3" s="25"/>
      <c r="AB3" s="25"/>
      <c r="AC3" s="25"/>
      <c r="AD3" s="25"/>
      <c r="AE3" s="25"/>
      <c r="AF3" s="25"/>
      <c r="AG3" s="25"/>
      <c r="AH3" s="25"/>
      <c r="AI3" s="25"/>
      <c r="AJ3" s="25"/>
      <c r="AK3" s="25"/>
      <c r="AL3" s="25"/>
      <c r="AM3" s="25"/>
      <c r="AN3" s="25"/>
      <c r="AO3" s="25"/>
      <c r="AP3" s="25"/>
    </row>
    <row r="4" spans="1:42" ht="14.25" customHeight="1">
      <c r="A4" s="385" t="s">
        <v>501</v>
      </c>
      <c r="B4" s="385"/>
      <c r="C4" s="43"/>
      <c r="D4" s="43"/>
      <c r="E4" s="43"/>
      <c r="F4" s="43"/>
      <c r="G4" s="43">
        <f t="shared" ref="G4:V4" si="0">G18</f>
        <v>242196480</v>
      </c>
      <c r="H4" s="43">
        <f t="shared" si="0"/>
        <v>242196480</v>
      </c>
      <c r="I4" s="43">
        <f t="shared" si="0"/>
        <v>242196480</v>
      </c>
      <c r="J4" s="43">
        <f t="shared" si="0"/>
        <v>242196480</v>
      </c>
      <c r="K4" s="43">
        <f t="shared" si="0"/>
        <v>242196480</v>
      </c>
      <c r="L4" s="43">
        <f t="shared" si="0"/>
        <v>242196480</v>
      </c>
      <c r="M4" s="43">
        <f t="shared" si="0"/>
        <v>242196480</v>
      </c>
      <c r="N4" s="43">
        <f t="shared" si="0"/>
        <v>242196480</v>
      </c>
      <c r="O4" s="43">
        <f t="shared" si="0"/>
        <v>242196480</v>
      </c>
      <c r="P4" s="43">
        <f t="shared" si="0"/>
        <v>242196480</v>
      </c>
      <c r="Q4" s="43">
        <f t="shared" si="0"/>
        <v>242196480</v>
      </c>
      <c r="R4" s="43">
        <f t="shared" si="0"/>
        <v>242196480</v>
      </c>
      <c r="S4" s="43">
        <f t="shared" si="0"/>
        <v>242196480</v>
      </c>
      <c r="T4" s="43">
        <f t="shared" si="0"/>
        <v>242196480</v>
      </c>
      <c r="U4" s="43">
        <f t="shared" si="0"/>
        <v>242196480</v>
      </c>
      <c r="V4" s="43">
        <f t="shared" si="0"/>
        <v>242196480</v>
      </c>
      <c r="W4" s="43">
        <f t="shared" ref="W4:Z4" si="1">W18</f>
        <v>242196480</v>
      </c>
      <c r="X4" s="43">
        <f t="shared" si="1"/>
        <v>242196480</v>
      </c>
      <c r="Y4" s="43">
        <f t="shared" si="1"/>
        <v>242196480</v>
      </c>
      <c r="Z4" s="43">
        <f t="shared" si="1"/>
        <v>242196480</v>
      </c>
      <c r="AA4" s="43"/>
      <c r="AB4" s="43"/>
      <c r="AC4" s="43"/>
      <c r="AD4" s="43"/>
      <c r="AE4" s="43"/>
      <c r="AF4" s="43"/>
      <c r="AG4" s="43"/>
      <c r="AH4" s="43"/>
      <c r="AI4" s="43"/>
      <c r="AJ4" s="43"/>
      <c r="AK4" s="43"/>
      <c r="AL4" s="43"/>
      <c r="AM4" s="43"/>
      <c r="AN4" s="43"/>
      <c r="AO4" s="43"/>
      <c r="AP4" s="43"/>
    </row>
    <row r="5" spans="1:42" ht="14.25" customHeight="1">
      <c r="A5" s="385" t="s">
        <v>502</v>
      </c>
      <c r="B5" s="385"/>
      <c r="C5" s="41">
        <f>C28</f>
        <v>0</v>
      </c>
      <c r="D5" s="41">
        <f t="shared" ref="D5:V5" si="2">D28</f>
        <v>0</v>
      </c>
      <c r="E5" s="41">
        <f t="shared" si="2"/>
        <v>0</v>
      </c>
      <c r="F5" s="41">
        <f t="shared" si="2"/>
        <v>0</v>
      </c>
      <c r="G5" s="41">
        <f t="shared" si="2"/>
        <v>0</v>
      </c>
      <c r="H5" s="41">
        <f t="shared" si="2"/>
        <v>0</v>
      </c>
      <c r="I5" s="41">
        <f t="shared" si="2"/>
        <v>0</v>
      </c>
      <c r="J5" s="41">
        <f t="shared" si="2"/>
        <v>0</v>
      </c>
      <c r="K5" s="41">
        <f t="shared" si="2"/>
        <v>0</v>
      </c>
      <c r="L5" s="41">
        <f t="shared" si="2"/>
        <v>0</v>
      </c>
      <c r="M5" s="41">
        <f t="shared" si="2"/>
        <v>0</v>
      </c>
      <c r="N5" s="41">
        <f t="shared" si="2"/>
        <v>0</v>
      </c>
      <c r="O5" s="41">
        <f t="shared" si="2"/>
        <v>0</v>
      </c>
      <c r="P5" s="41">
        <f t="shared" si="2"/>
        <v>0</v>
      </c>
      <c r="Q5" s="41">
        <f t="shared" si="2"/>
        <v>0</v>
      </c>
      <c r="R5" s="41">
        <f t="shared" si="2"/>
        <v>0</v>
      </c>
      <c r="S5" s="41">
        <f t="shared" si="2"/>
        <v>0</v>
      </c>
      <c r="T5" s="41">
        <f t="shared" si="2"/>
        <v>0</v>
      </c>
      <c r="U5" s="41">
        <f t="shared" si="2"/>
        <v>0</v>
      </c>
      <c r="V5" s="41">
        <f t="shared" si="2"/>
        <v>0</v>
      </c>
      <c r="W5" s="41">
        <f t="shared" ref="W5:Z5" si="3">W28</f>
        <v>0</v>
      </c>
      <c r="X5" s="41">
        <f t="shared" si="3"/>
        <v>0</v>
      </c>
      <c r="Y5" s="41">
        <f t="shared" si="3"/>
        <v>0</v>
      </c>
      <c r="Z5" s="41">
        <f t="shared" si="3"/>
        <v>0</v>
      </c>
      <c r="AA5" s="41"/>
      <c r="AB5" s="41"/>
      <c r="AC5" s="41"/>
      <c r="AD5" s="41"/>
      <c r="AE5" s="41"/>
      <c r="AF5" s="41"/>
      <c r="AG5" s="41"/>
      <c r="AH5" s="41"/>
      <c r="AI5" s="41"/>
      <c r="AJ5" s="41"/>
      <c r="AK5" s="41"/>
      <c r="AL5" s="41"/>
      <c r="AM5" s="41"/>
      <c r="AN5" s="41"/>
      <c r="AO5" s="41"/>
      <c r="AP5" s="41"/>
    </row>
    <row r="6" spans="1:42" ht="14.25" customHeight="1">
      <c r="A6" s="53"/>
      <c r="B6" s="53" t="s">
        <v>503</v>
      </c>
      <c r="C6" s="41">
        <f>C36</f>
        <v>0</v>
      </c>
      <c r="D6" s="41">
        <f t="shared" ref="D6:V6" si="4">D36</f>
        <v>0</v>
      </c>
      <c r="E6" s="41">
        <f t="shared" si="4"/>
        <v>0</v>
      </c>
      <c r="F6" s="41">
        <f t="shared" si="4"/>
        <v>0</v>
      </c>
      <c r="G6" s="41">
        <f t="shared" si="4"/>
        <v>0</v>
      </c>
      <c r="H6" s="41">
        <f t="shared" si="4"/>
        <v>0</v>
      </c>
      <c r="I6" s="41">
        <f t="shared" si="4"/>
        <v>0</v>
      </c>
      <c r="J6" s="41">
        <f t="shared" si="4"/>
        <v>0</v>
      </c>
      <c r="K6" s="41">
        <f t="shared" si="4"/>
        <v>0</v>
      </c>
      <c r="L6" s="41">
        <f t="shared" si="4"/>
        <v>0</v>
      </c>
      <c r="M6" s="41">
        <f t="shared" si="4"/>
        <v>0</v>
      </c>
      <c r="N6" s="41">
        <f t="shared" si="4"/>
        <v>0</v>
      </c>
      <c r="O6" s="41">
        <f t="shared" si="4"/>
        <v>0</v>
      </c>
      <c r="P6" s="41">
        <f t="shared" si="4"/>
        <v>0</v>
      </c>
      <c r="Q6" s="41">
        <f t="shared" si="4"/>
        <v>0</v>
      </c>
      <c r="R6" s="41">
        <f t="shared" si="4"/>
        <v>0</v>
      </c>
      <c r="S6" s="41">
        <f t="shared" si="4"/>
        <v>0</v>
      </c>
      <c r="T6" s="41">
        <f t="shared" si="4"/>
        <v>0</v>
      </c>
      <c r="U6" s="41">
        <f t="shared" si="4"/>
        <v>0</v>
      </c>
      <c r="V6" s="41">
        <f t="shared" si="4"/>
        <v>0</v>
      </c>
      <c r="W6" s="41">
        <f t="shared" ref="W6:Z6" si="5">W36</f>
        <v>0</v>
      </c>
      <c r="X6" s="41">
        <f t="shared" si="5"/>
        <v>0</v>
      </c>
      <c r="Y6" s="41">
        <f t="shared" si="5"/>
        <v>0</v>
      </c>
      <c r="Z6" s="41">
        <f t="shared" si="5"/>
        <v>0</v>
      </c>
      <c r="AA6" s="41"/>
      <c r="AB6" s="41"/>
      <c r="AC6" s="41"/>
      <c r="AD6" s="41"/>
      <c r="AE6" s="41"/>
      <c r="AF6" s="41"/>
      <c r="AG6" s="41"/>
      <c r="AH6" s="41"/>
      <c r="AI6" s="41"/>
      <c r="AJ6" s="41"/>
      <c r="AK6" s="41"/>
      <c r="AL6" s="41"/>
      <c r="AM6" s="41"/>
      <c r="AN6" s="41"/>
      <c r="AO6" s="41"/>
      <c r="AP6" s="41"/>
    </row>
    <row r="7" spans="1:42">
      <c r="A7" s="385"/>
      <c r="B7" s="385"/>
      <c r="C7" s="39">
        <f>C28</f>
        <v>0</v>
      </c>
      <c r="D7" s="39">
        <f t="shared" ref="D7:V7" si="6">D28</f>
        <v>0</v>
      </c>
      <c r="E7" s="39">
        <f t="shared" si="6"/>
        <v>0</v>
      </c>
      <c r="F7" s="39">
        <f t="shared" si="6"/>
        <v>0</v>
      </c>
      <c r="G7" s="39">
        <f t="shared" si="6"/>
        <v>0</v>
      </c>
      <c r="H7" s="39">
        <f t="shared" si="6"/>
        <v>0</v>
      </c>
      <c r="I7" s="39">
        <f t="shared" si="6"/>
        <v>0</v>
      </c>
      <c r="J7" s="39">
        <f t="shared" si="6"/>
        <v>0</v>
      </c>
      <c r="K7" s="39">
        <f t="shared" si="6"/>
        <v>0</v>
      </c>
      <c r="L7" s="39">
        <f t="shared" si="6"/>
        <v>0</v>
      </c>
      <c r="M7" s="39">
        <f t="shared" si="6"/>
        <v>0</v>
      </c>
      <c r="N7" s="39">
        <f t="shared" si="6"/>
        <v>0</v>
      </c>
      <c r="O7" s="39">
        <f t="shared" si="6"/>
        <v>0</v>
      </c>
      <c r="P7" s="39">
        <f t="shared" si="6"/>
        <v>0</v>
      </c>
      <c r="Q7" s="39">
        <f t="shared" si="6"/>
        <v>0</v>
      </c>
      <c r="R7" s="39">
        <f t="shared" si="6"/>
        <v>0</v>
      </c>
      <c r="S7" s="39">
        <f t="shared" si="6"/>
        <v>0</v>
      </c>
      <c r="T7" s="39">
        <f t="shared" si="6"/>
        <v>0</v>
      </c>
      <c r="U7" s="39">
        <f t="shared" si="6"/>
        <v>0</v>
      </c>
      <c r="V7" s="39">
        <f t="shared" si="6"/>
        <v>0</v>
      </c>
      <c r="W7" s="39">
        <f t="shared" ref="W7:Z7" si="7">W28</f>
        <v>0</v>
      </c>
      <c r="X7" s="39">
        <f t="shared" si="7"/>
        <v>0</v>
      </c>
      <c r="Y7" s="39">
        <f t="shared" si="7"/>
        <v>0</v>
      </c>
      <c r="Z7" s="39">
        <f t="shared" si="7"/>
        <v>0</v>
      </c>
      <c r="AA7" s="39"/>
      <c r="AB7" s="39"/>
      <c r="AC7" s="39"/>
      <c r="AD7" s="39"/>
      <c r="AE7" s="39"/>
      <c r="AF7" s="39"/>
      <c r="AG7" s="39"/>
      <c r="AH7" s="39"/>
      <c r="AI7" s="39"/>
      <c r="AJ7" s="39"/>
      <c r="AK7" s="39"/>
      <c r="AL7" s="39"/>
      <c r="AM7" s="39"/>
      <c r="AN7" s="39"/>
      <c r="AO7" s="39"/>
      <c r="AP7" s="39"/>
    </row>
    <row r="8" spans="1:42" ht="13.5" thickBot="1">
      <c r="A8" s="386" t="s">
        <v>504</v>
      </c>
      <c r="B8" s="386"/>
      <c r="C8" s="80">
        <f>C4+C5+C7+C6</f>
        <v>0</v>
      </c>
      <c r="D8" s="80">
        <f t="shared" ref="D8:V8" si="8">D4+D5+D7+D6</f>
        <v>0</v>
      </c>
      <c r="E8" s="80">
        <f t="shared" si="8"/>
        <v>0</v>
      </c>
      <c r="F8" s="80">
        <f>F4+F5+F7+F6</f>
        <v>0</v>
      </c>
      <c r="G8" s="80">
        <f t="shared" si="8"/>
        <v>242196480</v>
      </c>
      <c r="H8" s="80">
        <f t="shared" si="8"/>
        <v>242196480</v>
      </c>
      <c r="I8" s="80">
        <f t="shared" si="8"/>
        <v>242196480</v>
      </c>
      <c r="J8" s="80">
        <f t="shared" si="8"/>
        <v>242196480</v>
      </c>
      <c r="K8" s="80">
        <f t="shared" si="8"/>
        <v>242196480</v>
      </c>
      <c r="L8" s="80">
        <f t="shared" si="8"/>
        <v>242196480</v>
      </c>
      <c r="M8" s="80">
        <f t="shared" si="8"/>
        <v>242196480</v>
      </c>
      <c r="N8" s="80">
        <f t="shared" si="8"/>
        <v>242196480</v>
      </c>
      <c r="O8" s="80">
        <f t="shared" si="8"/>
        <v>242196480</v>
      </c>
      <c r="P8" s="80">
        <f t="shared" si="8"/>
        <v>242196480</v>
      </c>
      <c r="Q8" s="80">
        <f t="shared" si="8"/>
        <v>242196480</v>
      </c>
      <c r="R8" s="80">
        <f t="shared" si="8"/>
        <v>242196480</v>
      </c>
      <c r="S8" s="80">
        <f t="shared" si="8"/>
        <v>242196480</v>
      </c>
      <c r="T8" s="80">
        <f t="shared" si="8"/>
        <v>242196480</v>
      </c>
      <c r="U8" s="80">
        <f t="shared" si="8"/>
        <v>242196480</v>
      </c>
      <c r="V8" s="80">
        <f t="shared" si="8"/>
        <v>242196480</v>
      </c>
      <c r="W8" s="80">
        <f t="shared" ref="W8:Z8" si="9">W4+W5+W7+W6</f>
        <v>242196480</v>
      </c>
      <c r="X8" s="80">
        <f t="shared" si="9"/>
        <v>242196480</v>
      </c>
      <c r="Y8" s="80">
        <f t="shared" si="9"/>
        <v>242196480</v>
      </c>
      <c r="Z8" s="80">
        <f t="shared" si="9"/>
        <v>242196480</v>
      </c>
      <c r="AA8" s="80">
        <f>AA18</f>
        <v>242196480</v>
      </c>
      <c r="AB8" s="80">
        <f>AB18</f>
        <v>242196480</v>
      </c>
      <c r="AC8" s="80">
        <f>AC18</f>
        <v>242196480</v>
      </c>
      <c r="AD8" s="80">
        <f>AD18</f>
        <v>242196480</v>
      </c>
      <c r="AE8" s="80">
        <f>AE18</f>
        <v>242196480</v>
      </c>
      <c r="AF8" s="80">
        <f>AF18</f>
        <v>242196480</v>
      </c>
      <c r="AG8" s="80">
        <f>AG18</f>
        <v>242196480</v>
      </c>
      <c r="AH8" s="80">
        <f>AH18</f>
        <v>242196480</v>
      </c>
      <c r="AI8" s="80">
        <f>AI18</f>
        <v>242196480</v>
      </c>
      <c r="AJ8" s="80">
        <f>AJ18</f>
        <v>242196480</v>
      </c>
      <c r="AK8" s="80">
        <f>AK18</f>
        <v>242196480</v>
      </c>
      <c r="AL8" s="80">
        <f>AL18</f>
        <v>242196480</v>
      </c>
      <c r="AM8" s="80">
        <f>AM18</f>
        <v>242196480</v>
      </c>
      <c r="AN8" s="80">
        <f>AN18</f>
        <v>242196480</v>
      </c>
      <c r="AO8" s="80">
        <f>AO18</f>
        <v>242196480</v>
      </c>
      <c r="AP8" s="80">
        <f>AP18</f>
        <v>242196480</v>
      </c>
    </row>
    <row r="9" spans="1:42" ht="13.5" thickBot="1">
      <c r="A9" s="387" t="s">
        <v>505</v>
      </c>
      <c r="B9" s="388"/>
      <c r="C9" s="46"/>
      <c r="D9" s="46"/>
      <c r="E9" s="46"/>
      <c r="F9" s="38">
        <f>SUM(C8:F8)</f>
        <v>0</v>
      </c>
      <c r="G9" s="46"/>
      <c r="H9" s="46"/>
      <c r="I9" s="46"/>
      <c r="J9" s="38">
        <f>SUM(G8:J8)</f>
        <v>968785920</v>
      </c>
      <c r="K9" s="46"/>
      <c r="L9" s="46"/>
      <c r="M9" s="46"/>
      <c r="N9" s="38">
        <f>SUM(K8:N8)</f>
        <v>968785920</v>
      </c>
      <c r="O9" s="46"/>
      <c r="P9" s="46"/>
      <c r="Q9" s="46"/>
      <c r="R9" s="38">
        <f>SUM(O8:R8)</f>
        <v>968785920</v>
      </c>
      <c r="S9" s="46"/>
      <c r="T9" s="46"/>
      <c r="U9" s="46"/>
      <c r="V9" s="38">
        <f>SUM(S8:V8)</f>
        <v>968785920</v>
      </c>
      <c r="W9" s="46"/>
      <c r="X9" s="46"/>
      <c r="Y9" s="46"/>
      <c r="Z9" s="38">
        <f>SUM(W8:Z8)</f>
        <v>968785920</v>
      </c>
      <c r="AA9" s="46"/>
      <c r="AB9" s="46"/>
      <c r="AC9" s="46"/>
      <c r="AD9" s="38">
        <f>SUM(AA8:AD8)</f>
        <v>968785920</v>
      </c>
      <c r="AE9" s="46"/>
      <c r="AF9" s="46"/>
      <c r="AG9" s="46"/>
      <c r="AH9" s="38">
        <f>SUM(AE8:AH8)</f>
        <v>968785920</v>
      </c>
      <c r="AI9" s="46"/>
      <c r="AJ9" s="46"/>
      <c r="AK9" s="46"/>
      <c r="AL9" s="38">
        <f>SUM(AI8:AL8)</f>
        <v>968785920</v>
      </c>
      <c r="AM9" s="46"/>
      <c r="AN9" s="46"/>
      <c r="AO9" s="46"/>
      <c r="AP9" s="38">
        <f>SUM(AM8:AP8)</f>
        <v>968785920</v>
      </c>
    </row>
    <row r="10" spans="1:42">
      <c r="F10" s="103"/>
      <c r="J10" s="83"/>
      <c r="N10" s="83"/>
      <c r="R10" s="83"/>
      <c r="V10" s="83"/>
      <c r="Z10" s="83"/>
      <c r="AD10" s="83"/>
      <c r="AH10" s="83"/>
      <c r="AL10" s="83"/>
      <c r="AP10" s="83"/>
    </row>
    <row r="11" spans="1:42">
      <c r="A11" s="23" t="s">
        <v>506</v>
      </c>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row>
    <row r="12" spans="1:42">
      <c r="A12" s="24"/>
      <c r="B12" s="24"/>
      <c r="C12" s="382">
        <v>2026</v>
      </c>
      <c r="D12" s="383"/>
      <c r="E12" s="383"/>
      <c r="F12" s="384"/>
      <c r="G12" s="382">
        <v>2027</v>
      </c>
      <c r="H12" s="383"/>
      <c r="I12" s="383"/>
      <c r="J12" s="384"/>
      <c r="K12" s="382">
        <v>2028</v>
      </c>
      <c r="L12" s="383"/>
      <c r="M12" s="383"/>
      <c r="N12" s="384"/>
      <c r="O12" s="382">
        <v>2029</v>
      </c>
      <c r="P12" s="383"/>
      <c r="Q12" s="383"/>
      <c r="R12" s="384"/>
      <c r="S12" s="382">
        <v>2030</v>
      </c>
      <c r="T12" s="383"/>
      <c r="U12" s="383"/>
      <c r="V12" s="384"/>
      <c r="W12" s="382">
        <v>2031</v>
      </c>
      <c r="X12" s="383"/>
      <c r="Y12" s="383"/>
      <c r="Z12" s="384"/>
      <c r="AA12" s="382"/>
      <c r="AB12" s="383"/>
      <c r="AC12" s="383"/>
      <c r="AD12" s="384"/>
      <c r="AE12" s="382"/>
      <c r="AF12" s="383"/>
      <c r="AG12" s="383"/>
      <c r="AH12" s="384"/>
      <c r="AI12" s="382"/>
      <c r="AJ12" s="383"/>
      <c r="AK12" s="383"/>
      <c r="AL12" s="384"/>
      <c r="AM12" s="382"/>
      <c r="AN12" s="383"/>
      <c r="AO12" s="383"/>
      <c r="AP12" s="384"/>
    </row>
    <row r="13" spans="1:42">
      <c r="A13" s="24"/>
      <c r="B13" s="24"/>
      <c r="C13" s="25" t="s">
        <v>497</v>
      </c>
      <c r="D13" s="25" t="s">
        <v>498</v>
      </c>
      <c r="E13" s="25" t="s">
        <v>499</v>
      </c>
      <c r="F13" s="25" t="s">
        <v>500</v>
      </c>
      <c r="G13" s="25" t="s">
        <v>497</v>
      </c>
      <c r="H13" s="25" t="s">
        <v>498</v>
      </c>
      <c r="I13" s="25" t="s">
        <v>499</v>
      </c>
      <c r="J13" s="25" t="s">
        <v>500</v>
      </c>
      <c r="K13" s="25" t="s">
        <v>497</v>
      </c>
      <c r="L13" s="25" t="s">
        <v>498</v>
      </c>
      <c r="M13" s="25" t="s">
        <v>499</v>
      </c>
      <c r="N13" s="25" t="s">
        <v>500</v>
      </c>
      <c r="O13" s="25" t="s">
        <v>497</v>
      </c>
      <c r="P13" s="25" t="s">
        <v>498</v>
      </c>
      <c r="Q13" s="25" t="s">
        <v>499</v>
      </c>
      <c r="R13" s="25" t="s">
        <v>500</v>
      </c>
      <c r="S13" s="25" t="s">
        <v>497</v>
      </c>
      <c r="T13" s="25" t="s">
        <v>498</v>
      </c>
      <c r="U13" s="25" t="s">
        <v>499</v>
      </c>
      <c r="V13" s="25" t="s">
        <v>500</v>
      </c>
      <c r="W13" s="25" t="s">
        <v>497</v>
      </c>
      <c r="X13" s="25" t="s">
        <v>498</v>
      </c>
      <c r="Y13" s="25" t="s">
        <v>499</v>
      </c>
      <c r="Z13" s="25" t="s">
        <v>500</v>
      </c>
      <c r="AA13" s="25"/>
      <c r="AB13" s="25"/>
      <c r="AC13" s="25"/>
      <c r="AD13" s="25"/>
      <c r="AE13" s="25"/>
      <c r="AF13" s="25"/>
      <c r="AG13" s="25"/>
      <c r="AH13" s="25"/>
      <c r="AI13" s="25"/>
      <c r="AJ13" s="25"/>
      <c r="AK13" s="25"/>
      <c r="AL13" s="25"/>
      <c r="AM13" s="25"/>
      <c r="AN13" s="25"/>
      <c r="AO13" s="25"/>
      <c r="AP13" s="25"/>
    </row>
    <row r="14" spans="1:42">
      <c r="A14" s="30"/>
      <c r="B14" s="34" t="s">
        <v>603</v>
      </c>
      <c r="C14" s="112"/>
      <c r="D14" s="112"/>
      <c r="E14" s="112"/>
      <c r="F14" s="112"/>
      <c r="G14" s="201">
        <f>Assumptions!B17</f>
        <v>884736</v>
      </c>
      <c r="H14" s="201">
        <f>Assumptions!B17</f>
        <v>884736</v>
      </c>
      <c r="I14" s="201">
        <f>Assumptions!B17</f>
        <v>884736</v>
      </c>
      <c r="J14" s="201">
        <f>Assumptions!B17</f>
        <v>884736</v>
      </c>
      <c r="K14" s="201">
        <f>Assumptions!B17</f>
        <v>884736</v>
      </c>
      <c r="L14" s="201">
        <f>Assumptions!B17</f>
        <v>884736</v>
      </c>
      <c r="M14" s="201">
        <f>Assumptions!B17</f>
        <v>884736</v>
      </c>
      <c r="N14" s="201">
        <f>Assumptions!B17</f>
        <v>884736</v>
      </c>
      <c r="O14" s="201">
        <f>Assumptions!B17</f>
        <v>884736</v>
      </c>
      <c r="P14" s="201">
        <f>Assumptions!B17</f>
        <v>884736</v>
      </c>
      <c r="Q14" s="201">
        <f>Assumptions!B17</f>
        <v>884736</v>
      </c>
      <c r="R14" s="201">
        <f>Assumptions!B17</f>
        <v>884736</v>
      </c>
      <c r="S14" s="201">
        <f>Assumptions!B17</f>
        <v>884736</v>
      </c>
      <c r="T14" s="201">
        <f>Assumptions!B17</f>
        <v>884736</v>
      </c>
      <c r="U14" s="201">
        <f>Assumptions!B17</f>
        <v>884736</v>
      </c>
      <c r="V14" s="201">
        <f>Assumptions!B17</f>
        <v>884736</v>
      </c>
      <c r="W14" s="201">
        <f>Assumptions!B17</f>
        <v>884736</v>
      </c>
      <c r="X14" s="201">
        <f>Assumptions!B17</f>
        <v>884736</v>
      </c>
      <c r="Y14" s="201">
        <f>Assumptions!B17</f>
        <v>884736</v>
      </c>
      <c r="Z14" s="201">
        <f>Assumptions!B17</f>
        <v>884736</v>
      </c>
      <c r="AA14" s="201">
        <v>884736</v>
      </c>
      <c r="AB14" s="201">
        <v>884736</v>
      </c>
      <c r="AC14" s="201">
        <v>884736</v>
      </c>
      <c r="AD14" s="201">
        <v>884736</v>
      </c>
      <c r="AE14" s="201">
        <v>884736</v>
      </c>
      <c r="AF14" s="201">
        <v>884736</v>
      </c>
      <c r="AG14" s="201">
        <v>884736</v>
      </c>
      <c r="AH14" s="201">
        <v>884736</v>
      </c>
      <c r="AI14" s="201">
        <v>884736</v>
      </c>
      <c r="AJ14" s="201">
        <v>884736</v>
      </c>
      <c r="AK14" s="201">
        <v>884736</v>
      </c>
      <c r="AL14" s="201">
        <v>884736</v>
      </c>
      <c r="AM14" s="201">
        <v>884736</v>
      </c>
      <c r="AN14" s="201">
        <v>884736</v>
      </c>
      <c r="AO14" s="201">
        <v>884736</v>
      </c>
      <c r="AP14" s="201">
        <v>884736</v>
      </c>
    </row>
    <row r="15" spans="1:42" s="145" customFormat="1">
      <c r="A15" s="142"/>
      <c r="B15" s="143" t="s">
        <v>602</v>
      </c>
      <c r="C15" s="200">
        <f>Assumptions!B20</f>
        <v>3</v>
      </c>
      <c r="D15" s="144">
        <f>C15</f>
        <v>3</v>
      </c>
      <c r="E15" s="144">
        <f t="shared" ref="E15:F15" si="10">D15</f>
        <v>3</v>
      </c>
      <c r="F15" s="144">
        <f t="shared" si="10"/>
        <v>3</v>
      </c>
      <c r="G15" s="144">
        <f>$F$15*(1+$J$20)</f>
        <v>3</v>
      </c>
      <c r="H15" s="144">
        <f>$F$15*(1+$J$20)</f>
        <v>3</v>
      </c>
      <c r="I15" s="144">
        <f>$F$15*(1+$J$20)</f>
        <v>3</v>
      </c>
      <c r="J15" s="144">
        <f>$F$15*(1+$J$20)</f>
        <v>3</v>
      </c>
      <c r="K15" s="144">
        <f>$J$15*(1+$J$20)</f>
        <v>3</v>
      </c>
      <c r="L15" s="144">
        <f>$J$15*(1+$J$20)</f>
        <v>3</v>
      </c>
      <c r="M15" s="144">
        <f>$J$15*(1+$J$20)</f>
        <v>3</v>
      </c>
      <c r="N15" s="144">
        <f>$J$15*(1+$J$20)</f>
        <v>3</v>
      </c>
      <c r="O15" s="144">
        <f>$N$15*(1+$J$20)</f>
        <v>3</v>
      </c>
      <c r="P15" s="144">
        <f>$N$15*(1+$J$20)</f>
        <v>3</v>
      </c>
      <c r="Q15" s="144">
        <f>$N$15*(1+$J$20)</f>
        <v>3</v>
      </c>
      <c r="R15" s="144">
        <f>$N$15*(1+$J$20)</f>
        <v>3</v>
      </c>
      <c r="S15" s="144">
        <f>$R$15*(1+$J$20)</f>
        <v>3</v>
      </c>
      <c r="T15" s="144">
        <f>$R$15*(1+$J$20)</f>
        <v>3</v>
      </c>
      <c r="U15" s="144">
        <f>$R$15*(1+$J$20)</f>
        <v>3</v>
      </c>
      <c r="V15" s="144">
        <f>$R$15*(1+$J$20)</f>
        <v>3</v>
      </c>
      <c r="W15" s="144">
        <f>$V$15*(1+$J$20)</f>
        <v>3</v>
      </c>
      <c r="X15" s="144">
        <f>$V$15*(1+$J$20)</f>
        <v>3</v>
      </c>
      <c r="Y15" s="144">
        <f>$V$15*(1+$J$20)</f>
        <v>3</v>
      </c>
      <c r="Z15" s="144">
        <f>$V$15*(1+$J$20)</f>
        <v>3</v>
      </c>
      <c r="AA15" s="144">
        <f>Assumptions!B20</f>
        <v>3</v>
      </c>
      <c r="AB15" s="144">
        <f>Assumptions!B20</f>
        <v>3</v>
      </c>
      <c r="AC15" s="144">
        <f>Assumptions!B20</f>
        <v>3</v>
      </c>
      <c r="AD15" s="144">
        <f>Assumptions!B20</f>
        <v>3</v>
      </c>
      <c r="AE15" s="144">
        <f>Assumptions!B20</f>
        <v>3</v>
      </c>
      <c r="AF15" s="144">
        <f>Assumptions!B20</f>
        <v>3</v>
      </c>
      <c r="AG15" s="144">
        <f>Assumptions!B20</f>
        <v>3</v>
      </c>
      <c r="AH15" s="144">
        <f>Assumptions!B20</f>
        <v>3</v>
      </c>
      <c r="AI15" s="144">
        <f>Assumptions!B20</f>
        <v>3</v>
      </c>
      <c r="AJ15" s="144">
        <f>Assumptions!B20</f>
        <v>3</v>
      </c>
      <c r="AK15" s="144">
        <f>Assumptions!B20</f>
        <v>3</v>
      </c>
      <c r="AL15" s="144">
        <f>Assumptions!B20</f>
        <v>3</v>
      </c>
      <c r="AM15" s="144">
        <f>Assumptions!B20</f>
        <v>3</v>
      </c>
      <c r="AN15" s="144">
        <f>Assumptions!B20</f>
        <v>3</v>
      </c>
      <c r="AO15" s="144">
        <f>Assumptions!B20</f>
        <v>3</v>
      </c>
      <c r="AP15" s="144">
        <f>Assumptions!B20</f>
        <v>3</v>
      </c>
    </row>
    <row r="16" spans="1:42">
      <c r="A16" s="110"/>
      <c r="B16" s="111" t="s">
        <v>604</v>
      </c>
      <c r="C16" s="158">
        <f>365/4</f>
        <v>91.25</v>
      </c>
      <c r="D16" s="158">
        <f t="shared" ref="D16:Z16" si="11">365/4</f>
        <v>91.25</v>
      </c>
      <c r="E16" s="158">
        <f t="shared" si="11"/>
        <v>91.25</v>
      </c>
      <c r="F16" s="158">
        <f t="shared" si="11"/>
        <v>91.25</v>
      </c>
      <c r="G16" s="158">
        <f t="shared" si="11"/>
        <v>91.25</v>
      </c>
      <c r="H16" s="158">
        <f t="shared" si="11"/>
        <v>91.25</v>
      </c>
      <c r="I16" s="158">
        <f t="shared" si="11"/>
        <v>91.25</v>
      </c>
      <c r="J16" s="158">
        <f t="shared" si="11"/>
        <v>91.25</v>
      </c>
      <c r="K16" s="158">
        <f t="shared" si="11"/>
        <v>91.25</v>
      </c>
      <c r="L16" s="158">
        <f t="shared" si="11"/>
        <v>91.25</v>
      </c>
      <c r="M16" s="158">
        <f t="shared" si="11"/>
        <v>91.25</v>
      </c>
      <c r="N16" s="158">
        <f t="shared" si="11"/>
        <v>91.25</v>
      </c>
      <c r="O16" s="158">
        <f t="shared" si="11"/>
        <v>91.25</v>
      </c>
      <c r="P16" s="158">
        <f t="shared" si="11"/>
        <v>91.25</v>
      </c>
      <c r="Q16" s="158">
        <f t="shared" si="11"/>
        <v>91.25</v>
      </c>
      <c r="R16" s="158">
        <f t="shared" si="11"/>
        <v>91.25</v>
      </c>
      <c r="S16" s="158">
        <f t="shared" si="11"/>
        <v>91.25</v>
      </c>
      <c r="T16" s="158">
        <f t="shared" si="11"/>
        <v>91.25</v>
      </c>
      <c r="U16" s="158">
        <f t="shared" si="11"/>
        <v>91.25</v>
      </c>
      <c r="V16" s="158">
        <f t="shared" si="11"/>
        <v>91.25</v>
      </c>
      <c r="W16" s="158">
        <f t="shared" si="11"/>
        <v>91.25</v>
      </c>
      <c r="X16" s="158">
        <f t="shared" si="11"/>
        <v>91.25</v>
      </c>
      <c r="Y16" s="158">
        <f t="shared" si="11"/>
        <v>91.25</v>
      </c>
      <c r="Z16" s="158">
        <f t="shared" si="11"/>
        <v>91.25</v>
      </c>
      <c r="AA16" s="158">
        <v>91.25</v>
      </c>
      <c r="AB16" s="158">
        <v>91.25</v>
      </c>
      <c r="AC16" s="158">
        <v>91.25</v>
      </c>
      <c r="AD16" s="158">
        <v>91.25</v>
      </c>
      <c r="AE16" s="158">
        <v>91.25</v>
      </c>
      <c r="AF16" s="158">
        <v>91.25</v>
      </c>
      <c r="AG16" s="158">
        <v>91.25</v>
      </c>
      <c r="AH16" s="158">
        <v>91.25</v>
      </c>
      <c r="AI16" s="158">
        <v>91.25</v>
      </c>
      <c r="AJ16" s="158">
        <v>91.25</v>
      </c>
      <c r="AK16" s="158">
        <v>91.25</v>
      </c>
      <c r="AL16" s="158">
        <v>91.25</v>
      </c>
      <c r="AM16" s="158">
        <v>91.25</v>
      </c>
      <c r="AN16" s="158">
        <v>91.25</v>
      </c>
      <c r="AO16" s="158">
        <v>91.25</v>
      </c>
      <c r="AP16" s="158">
        <v>91.25</v>
      </c>
    </row>
    <row r="17" spans="1:42" ht="12.75" customHeight="1">
      <c r="A17" s="31"/>
      <c r="B17" s="33" t="s">
        <v>507</v>
      </c>
      <c r="C17" s="32">
        <v>0</v>
      </c>
      <c r="D17" s="32">
        <v>0</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c r="AB17" s="32"/>
      <c r="AC17" s="32"/>
      <c r="AD17" s="32"/>
      <c r="AE17" s="32"/>
      <c r="AF17" s="32"/>
      <c r="AG17" s="32"/>
      <c r="AH17" s="32"/>
      <c r="AI17" s="32"/>
      <c r="AJ17" s="32"/>
      <c r="AK17" s="32"/>
      <c r="AL17" s="32"/>
      <c r="AM17" s="32"/>
      <c r="AN17" s="32"/>
      <c r="AO17" s="32"/>
      <c r="AP17" s="32"/>
    </row>
    <row r="18" spans="1:42">
      <c r="A18" s="31"/>
      <c r="B18" s="33" t="s">
        <v>605</v>
      </c>
      <c r="C18" s="36">
        <f>C14*C15*C16</f>
        <v>0</v>
      </c>
      <c r="D18" s="36">
        <f t="shared" ref="D18:V18" si="12">D14*D15*D16</f>
        <v>0</v>
      </c>
      <c r="E18" s="36">
        <f t="shared" si="12"/>
        <v>0</v>
      </c>
      <c r="F18" s="36">
        <f t="shared" si="12"/>
        <v>0</v>
      </c>
      <c r="G18" s="36">
        <f t="shared" si="12"/>
        <v>242196480</v>
      </c>
      <c r="H18" s="36">
        <f t="shared" si="12"/>
        <v>242196480</v>
      </c>
      <c r="I18" s="36">
        <f t="shared" si="12"/>
        <v>242196480</v>
      </c>
      <c r="J18" s="36">
        <f t="shared" si="12"/>
        <v>242196480</v>
      </c>
      <c r="K18" s="36">
        <f t="shared" si="12"/>
        <v>242196480</v>
      </c>
      <c r="L18" s="36">
        <f t="shared" si="12"/>
        <v>242196480</v>
      </c>
      <c r="M18" s="36">
        <f t="shared" si="12"/>
        <v>242196480</v>
      </c>
      <c r="N18" s="36">
        <f t="shared" si="12"/>
        <v>242196480</v>
      </c>
      <c r="O18" s="36">
        <f t="shared" si="12"/>
        <v>242196480</v>
      </c>
      <c r="P18" s="36">
        <f t="shared" si="12"/>
        <v>242196480</v>
      </c>
      <c r="Q18" s="36">
        <f t="shared" si="12"/>
        <v>242196480</v>
      </c>
      <c r="R18" s="36">
        <f t="shared" si="12"/>
        <v>242196480</v>
      </c>
      <c r="S18" s="36">
        <f t="shared" si="12"/>
        <v>242196480</v>
      </c>
      <c r="T18" s="36">
        <f t="shared" si="12"/>
        <v>242196480</v>
      </c>
      <c r="U18" s="36">
        <f t="shared" si="12"/>
        <v>242196480</v>
      </c>
      <c r="V18" s="36">
        <f t="shared" si="12"/>
        <v>242196480</v>
      </c>
      <c r="W18" s="36">
        <f t="shared" ref="W18:Z18" si="13">W14*W15*W16</f>
        <v>242196480</v>
      </c>
      <c r="X18" s="36">
        <f t="shared" si="13"/>
        <v>242196480</v>
      </c>
      <c r="Y18" s="36">
        <f t="shared" si="13"/>
        <v>242196480</v>
      </c>
      <c r="Z18" s="36">
        <f t="shared" si="13"/>
        <v>242196480</v>
      </c>
      <c r="AA18" s="36">
        <f>AA14*AA15*AA16</f>
        <v>242196480</v>
      </c>
      <c r="AB18" s="36">
        <f>AB14*AB15*AB16</f>
        <v>242196480</v>
      </c>
      <c r="AC18" s="36">
        <f>AC14*AC15*AC16</f>
        <v>242196480</v>
      </c>
      <c r="AD18" s="36">
        <f>AD14*AD15*AD16</f>
        <v>242196480</v>
      </c>
      <c r="AE18" s="36">
        <f>AE14*AE15*AE16</f>
        <v>242196480</v>
      </c>
      <c r="AF18" s="36">
        <f>AF14*AF15*AF16</f>
        <v>242196480</v>
      </c>
      <c r="AG18" s="36">
        <f>AG14*AG15*AG16</f>
        <v>242196480</v>
      </c>
      <c r="AH18" s="36">
        <f>AH14*AH15*AH16</f>
        <v>242196480</v>
      </c>
      <c r="AI18" s="36">
        <f>AI14*AI15*AI16</f>
        <v>242196480</v>
      </c>
      <c r="AJ18" s="36">
        <f>AJ14*AJ15*AJ16</f>
        <v>242196480</v>
      </c>
      <c r="AK18" s="36">
        <f>AK14*AK15*AK16</f>
        <v>242196480</v>
      </c>
      <c r="AL18" s="36">
        <f>AL14*AL15*AL16</f>
        <v>242196480</v>
      </c>
      <c r="AM18" s="36">
        <f>AM14*AM15*AM16</f>
        <v>242196480</v>
      </c>
      <c r="AN18" s="36">
        <f>AN14*AN15*AN16</f>
        <v>242196480</v>
      </c>
      <c r="AO18" s="36">
        <f>AO14*AO15*AO16</f>
        <v>242196480</v>
      </c>
      <c r="AP18" s="36">
        <f>AP14*AP15*AP16</f>
        <v>242196480</v>
      </c>
    </row>
    <row r="19" spans="1:42" ht="13.5" thickBot="1">
      <c r="A19" s="24"/>
      <c r="B19" s="24"/>
      <c r="C19" s="24"/>
      <c r="D19" s="24"/>
      <c r="E19" s="24"/>
      <c r="F19" s="42">
        <f>SUM(C18:F18)</f>
        <v>0</v>
      </c>
      <c r="G19" s="24"/>
      <c r="H19" s="24"/>
      <c r="I19" s="24"/>
      <c r="J19" s="42">
        <f>SUM(G18:J18)</f>
        <v>968785920</v>
      </c>
      <c r="K19" s="24"/>
      <c r="L19" s="24"/>
      <c r="M19" s="24"/>
      <c r="N19" s="42">
        <f>SUM(K18:N18)</f>
        <v>968785920</v>
      </c>
      <c r="O19" s="24"/>
      <c r="P19" s="24"/>
      <c r="Q19" s="24"/>
      <c r="R19" s="42">
        <f>SUM(O18:R18)</f>
        <v>968785920</v>
      </c>
      <c r="S19" s="24"/>
      <c r="T19" s="24"/>
      <c r="U19" s="24"/>
      <c r="V19" s="42">
        <f>SUM(S18:V18)</f>
        <v>968785920</v>
      </c>
      <c r="W19" s="24"/>
      <c r="X19" s="24"/>
      <c r="Y19" s="24"/>
      <c r="Z19" s="42">
        <f>SUM(W18:Z18)</f>
        <v>968785920</v>
      </c>
      <c r="AA19" s="24"/>
      <c r="AB19" s="24"/>
      <c r="AC19" s="24"/>
      <c r="AD19" s="42">
        <f>SUM(AA18:AD18)</f>
        <v>968785920</v>
      </c>
      <c r="AE19" s="24"/>
      <c r="AF19" s="24"/>
      <c r="AG19" s="24"/>
      <c r="AH19" s="42">
        <f>SUM(AE18:AH18)</f>
        <v>968785920</v>
      </c>
      <c r="AI19" s="24"/>
      <c r="AJ19" s="24"/>
      <c r="AK19" s="24"/>
      <c r="AL19" s="42">
        <f>SUM(AI18:AL18)</f>
        <v>968785920</v>
      </c>
      <c r="AM19" s="24"/>
      <c r="AN19" s="24"/>
      <c r="AO19" s="24"/>
      <c r="AP19" s="42">
        <f>SUM(AM18:AP18)</f>
        <v>968785920</v>
      </c>
    </row>
    <row r="20" spans="1:42">
      <c r="A20" s="24"/>
      <c r="B20" s="24" t="s">
        <v>601</v>
      </c>
      <c r="C20" s="24"/>
      <c r="D20" s="24"/>
      <c r="E20" s="24"/>
      <c r="F20" s="35"/>
      <c r="G20" s="24"/>
      <c r="H20" s="24"/>
      <c r="I20" s="24"/>
      <c r="J20" s="199">
        <f>Assumptions!B21</f>
        <v>0</v>
      </c>
      <c r="K20" s="24"/>
      <c r="L20" s="24"/>
      <c r="M20" s="24"/>
      <c r="N20" s="83">
        <v>0.05</v>
      </c>
      <c r="O20" s="24"/>
      <c r="P20" s="24"/>
      <c r="Q20" s="24"/>
      <c r="R20" s="83">
        <v>0.05</v>
      </c>
      <c r="S20" s="24"/>
      <c r="T20" s="24"/>
      <c r="U20" s="24"/>
      <c r="V20" s="83">
        <v>0.05</v>
      </c>
      <c r="W20" s="24"/>
      <c r="X20" s="24"/>
      <c r="Y20" s="24"/>
      <c r="Z20" s="35"/>
      <c r="AA20" s="24"/>
      <c r="AB20" s="24"/>
      <c r="AC20" s="24"/>
      <c r="AD20" s="35"/>
      <c r="AE20" s="24"/>
      <c r="AF20" s="24"/>
      <c r="AG20" s="24"/>
      <c r="AH20" s="35"/>
      <c r="AI20" s="24"/>
      <c r="AJ20" s="24"/>
      <c r="AK20" s="24"/>
      <c r="AL20" s="35"/>
      <c r="AM20" s="24"/>
      <c r="AN20" s="24"/>
      <c r="AO20" s="24"/>
      <c r="AP20" s="35"/>
    </row>
    <row r="22" spans="1:42">
      <c r="A22" s="19" t="s">
        <v>508</v>
      </c>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row>
    <row r="23" spans="1:42">
      <c r="A23" s="82" t="s">
        <v>509</v>
      </c>
      <c r="B23" s="119">
        <v>1000</v>
      </c>
    </row>
    <row r="25" spans="1:42">
      <c r="A25" s="24"/>
      <c r="B25" s="24"/>
      <c r="C25" s="382">
        <v>2026</v>
      </c>
      <c r="D25" s="383"/>
      <c r="E25" s="383"/>
      <c r="F25" s="384"/>
      <c r="G25" s="382">
        <v>2027</v>
      </c>
      <c r="H25" s="383"/>
      <c r="I25" s="383"/>
      <c r="J25" s="384"/>
      <c r="K25" s="382">
        <v>2028</v>
      </c>
      <c r="L25" s="383"/>
      <c r="M25" s="383"/>
      <c r="N25" s="384"/>
      <c r="O25" s="382">
        <v>2029</v>
      </c>
      <c r="P25" s="383"/>
      <c r="Q25" s="383"/>
      <c r="R25" s="384"/>
      <c r="S25" s="382">
        <v>2030</v>
      </c>
      <c r="T25" s="383"/>
      <c r="U25" s="383"/>
      <c r="V25" s="384"/>
      <c r="W25" s="382">
        <v>2031</v>
      </c>
      <c r="X25" s="383"/>
      <c r="Y25" s="383"/>
      <c r="Z25" s="384"/>
      <c r="AA25" s="382"/>
      <c r="AB25" s="383"/>
      <c r="AC25" s="383"/>
      <c r="AD25" s="384"/>
      <c r="AE25" s="382"/>
      <c r="AF25" s="383"/>
      <c r="AG25" s="383"/>
      <c r="AH25" s="384"/>
      <c r="AI25" s="382"/>
      <c r="AJ25" s="383"/>
      <c r="AK25" s="383"/>
      <c r="AL25" s="384"/>
      <c r="AM25" s="382"/>
      <c r="AN25" s="383"/>
      <c r="AO25" s="383"/>
      <c r="AP25" s="384"/>
    </row>
    <row r="26" spans="1:42">
      <c r="A26" s="24"/>
      <c r="B26" s="24"/>
      <c r="C26" s="25" t="s">
        <v>497</v>
      </c>
      <c r="D26" s="25" t="s">
        <v>498</v>
      </c>
      <c r="E26" s="25" t="s">
        <v>499</v>
      </c>
      <c r="F26" s="25" t="s">
        <v>500</v>
      </c>
      <c r="G26" s="25" t="s">
        <v>497</v>
      </c>
      <c r="H26" s="25" t="s">
        <v>498</v>
      </c>
      <c r="I26" s="25" t="s">
        <v>499</v>
      </c>
      <c r="J26" s="25" t="s">
        <v>500</v>
      </c>
      <c r="K26" s="25" t="s">
        <v>497</v>
      </c>
      <c r="L26" s="25" t="s">
        <v>498</v>
      </c>
      <c r="M26" s="25" t="s">
        <v>499</v>
      </c>
      <c r="N26" s="25" t="s">
        <v>500</v>
      </c>
      <c r="O26" s="25" t="s">
        <v>497</v>
      </c>
      <c r="P26" s="25" t="s">
        <v>498</v>
      </c>
      <c r="Q26" s="25" t="s">
        <v>499</v>
      </c>
      <c r="R26" s="25" t="s">
        <v>500</v>
      </c>
      <c r="S26" s="25" t="s">
        <v>497</v>
      </c>
      <c r="T26" s="25" t="s">
        <v>498</v>
      </c>
      <c r="U26" s="25" t="s">
        <v>499</v>
      </c>
      <c r="V26" s="25" t="s">
        <v>500</v>
      </c>
      <c r="W26" s="25" t="s">
        <v>497</v>
      </c>
      <c r="X26" s="25" t="s">
        <v>498</v>
      </c>
      <c r="Y26" s="25" t="s">
        <v>499</v>
      </c>
      <c r="Z26" s="25" t="s">
        <v>500</v>
      </c>
      <c r="AA26" s="25"/>
      <c r="AB26" s="25"/>
      <c r="AC26" s="25"/>
      <c r="AD26" s="25"/>
      <c r="AE26" s="25"/>
      <c r="AF26" s="25"/>
      <c r="AG26" s="25"/>
      <c r="AH26" s="25"/>
      <c r="AI26" s="25"/>
      <c r="AJ26" s="25"/>
      <c r="AK26" s="25"/>
      <c r="AL26" s="25"/>
      <c r="AM26" s="25"/>
      <c r="AN26" s="25"/>
      <c r="AO26" s="25"/>
      <c r="AP26" s="25"/>
    </row>
    <row r="27" spans="1:42">
      <c r="A27" s="391"/>
      <c r="B27" s="392"/>
      <c r="C27" s="105">
        <v>0</v>
      </c>
      <c r="D27" s="105">
        <v>0</v>
      </c>
      <c r="E27" s="105">
        <v>0</v>
      </c>
      <c r="F27" s="105">
        <v>0</v>
      </c>
      <c r="G27" s="105">
        <v>0</v>
      </c>
      <c r="H27" s="105">
        <v>0</v>
      </c>
      <c r="I27" s="105">
        <v>0</v>
      </c>
      <c r="J27" s="105">
        <v>0</v>
      </c>
      <c r="K27" s="105">
        <v>0</v>
      </c>
      <c r="L27" s="105">
        <v>0</v>
      </c>
      <c r="M27" s="105">
        <v>0</v>
      </c>
      <c r="N27" s="105">
        <v>0</v>
      </c>
      <c r="O27" s="105">
        <v>0</v>
      </c>
      <c r="P27" s="105">
        <v>0</v>
      </c>
      <c r="Q27" s="105">
        <v>0</v>
      </c>
      <c r="R27" s="105">
        <v>0</v>
      </c>
      <c r="S27" s="105">
        <v>0</v>
      </c>
      <c r="T27" s="105">
        <v>0</v>
      </c>
      <c r="U27" s="105">
        <v>0</v>
      </c>
      <c r="V27" s="105">
        <v>0</v>
      </c>
      <c r="W27" s="105">
        <v>0</v>
      </c>
      <c r="X27" s="105">
        <v>0</v>
      </c>
      <c r="Y27" s="105">
        <v>0</v>
      </c>
      <c r="Z27" s="105">
        <v>0</v>
      </c>
      <c r="AA27" s="105"/>
      <c r="AB27" s="105"/>
      <c r="AC27" s="105"/>
      <c r="AD27" s="105"/>
      <c r="AE27" s="105"/>
      <c r="AF27" s="105"/>
      <c r="AG27" s="105"/>
      <c r="AH27" s="105"/>
      <c r="AI27" s="105"/>
      <c r="AJ27" s="105"/>
      <c r="AK27" s="105"/>
      <c r="AL27" s="105"/>
      <c r="AM27" s="105"/>
      <c r="AN27" s="105"/>
      <c r="AO27" s="105"/>
      <c r="AP27" s="105"/>
    </row>
    <row r="28" spans="1:42" ht="12.75" customHeight="1">
      <c r="A28" s="393" t="s">
        <v>510</v>
      </c>
      <c r="B28" s="394"/>
      <c r="C28" s="27">
        <f>C27*$B$23</f>
        <v>0</v>
      </c>
      <c r="D28" s="26">
        <f t="shared" ref="D28:V28" si="14">D27*$B$23</f>
        <v>0</v>
      </c>
      <c r="E28" s="26">
        <f t="shared" si="14"/>
        <v>0</v>
      </c>
      <c r="F28" s="29">
        <f t="shared" si="14"/>
        <v>0</v>
      </c>
      <c r="G28" s="27">
        <f t="shared" si="14"/>
        <v>0</v>
      </c>
      <c r="H28" s="26">
        <f t="shared" si="14"/>
        <v>0</v>
      </c>
      <c r="I28" s="26">
        <f t="shared" si="14"/>
        <v>0</v>
      </c>
      <c r="J28" s="29">
        <f t="shared" si="14"/>
        <v>0</v>
      </c>
      <c r="K28" s="27">
        <f t="shared" si="14"/>
        <v>0</v>
      </c>
      <c r="L28" s="26">
        <f t="shared" si="14"/>
        <v>0</v>
      </c>
      <c r="M28" s="26">
        <f t="shared" si="14"/>
        <v>0</v>
      </c>
      <c r="N28" s="29">
        <f t="shared" si="14"/>
        <v>0</v>
      </c>
      <c r="O28" s="27">
        <f t="shared" si="14"/>
        <v>0</v>
      </c>
      <c r="P28" s="26">
        <f t="shared" si="14"/>
        <v>0</v>
      </c>
      <c r="Q28" s="26">
        <f t="shared" si="14"/>
        <v>0</v>
      </c>
      <c r="R28" s="29">
        <f t="shared" si="14"/>
        <v>0</v>
      </c>
      <c r="S28" s="27">
        <f t="shared" si="14"/>
        <v>0</v>
      </c>
      <c r="T28" s="26">
        <f t="shared" si="14"/>
        <v>0</v>
      </c>
      <c r="U28" s="26">
        <f t="shared" si="14"/>
        <v>0</v>
      </c>
      <c r="V28" s="29">
        <f t="shared" si="14"/>
        <v>0</v>
      </c>
      <c r="W28" s="27">
        <f t="shared" ref="W28:Z28" si="15">W27*$B$23</f>
        <v>0</v>
      </c>
      <c r="X28" s="26">
        <f t="shared" si="15"/>
        <v>0</v>
      </c>
      <c r="Y28" s="26">
        <f t="shared" si="15"/>
        <v>0</v>
      </c>
      <c r="Z28" s="29">
        <f t="shared" si="15"/>
        <v>0</v>
      </c>
      <c r="AA28" s="27"/>
      <c r="AB28" s="26"/>
      <c r="AC28" s="26"/>
      <c r="AD28" s="29"/>
      <c r="AE28" s="27"/>
      <c r="AF28" s="26"/>
      <c r="AG28" s="26"/>
      <c r="AH28" s="29"/>
      <c r="AI28" s="27"/>
      <c r="AJ28" s="26"/>
      <c r="AK28" s="26"/>
      <c r="AL28" s="29"/>
      <c r="AM28" s="27"/>
      <c r="AN28" s="26"/>
      <c r="AO28" s="26"/>
      <c r="AP28" s="29"/>
    </row>
    <row r="29" spans="1:42" ht="13.5" thickBot="1">
      <c r="A29" s="24"/>
      <c r="B29" s="24"/>
      <c r="C29" s="24"/>
      <c r="D29" s="24"/>
      <c r="E29" s="24"/>
      <c r="F29" s="28">
        <f>SUM(C28:F28)</f>
        <v>0</v>
      </c>
      <c r="G29" s="24"/>
      <c r="H29" s="24"/>
      <c r="I29" s="24"/>
      <c r="J29" s="28">
        <f>SUM(G28:J28)</f>
        <v>0</v>
      </c>
      <c r="K29" s="24"/>
      <c r="L29" s="24"/>
      <c r="M29" s="24"/>
      <c r="N29" s="28">
        <f>SUM(K28:N28)</f>
        <v>0</v>
      </c>
      <c r="O29" s="24"/>
      <c r="P29" s="24"/>
      <c r="Q29" s="24"/>
      <c r="R29" s="28">
        <f>SUM(O28:R28)</f>
        <v>0</v>
      </c>
      <c r="S29" s="24"/>
      <c r="T29" s="24"/>
      <c r="U29" s="24"/>
      <c r="V29" s="28">
        <f>SUM(S28:V28)</f>
        <v>0</v>
      </c>
      <c r="W29" s="24"/>
      <c r="X29" s="24"/>
      <c r="Y29" s="24"/>
      <c r="Z29" s="28">
        <f>SUM(W28:Z28)</f>
        <v>0</v>
      </c>
      <c r="AA29" s="24"/>
      <c r="AB29" s="24"/>
      <c r="AC29" s="24"/>
      <c r="AD29" s="28"/>
      <c r="AE29" s="24"/>
      <c r="AF29" s="24"/>
      <c r="AG29" s="24"/>
      <c r="AH29" s="28"/>
      <c r="AI29" s="24"/>
      <c r="AJ29" s="24"/>
      <c r="AK29" s="24"/>
      <c r="AL29" s="28"/>
      <c r="AM29" s="24"/>
      <c r="AN29" s="24"/>
      <c r="AO29" s="24"/>
      <c r="AP29" s="28"/>
    </row>
    <row r="30" spans="1:42">
      <c r="A30" s="19" t="s">
        <v>511</v>
      </c>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row>
    <row r="31" spans="1:42">
      <c r="A31" s="82" t="s">
        <v>509</v>
      </c>
      <c r="B31" s="120">
        <v>1000</v>
      </c>
    </row>
    <row r="33" spans="1:42">
      <c r="A33" s="24"/>
      <c r="C33" s="382">
        <v>2026</v>
      </c>
      <c r="D33" s="383"/>
      <c r="E33" s="383"/>
      <c r="F33" s="384"/>
      <c r="G33" s="382">
        <v>2027</v>
      </c>
      <c r="H33" s="383"/>
      <c r="I33" s="383"/>
      <c r="J33" s="384"/>
      <c r="K33" s="382">
        <v>2028</v>
      </c>
      <c r="L33" s="383"/>
      <c r="M33" s="383"/>
      <c r="N33" s="384"/>
      <c r="O33" s="382">
        <v>2029</v>
      </c>
      <c r="P33" s="383"/>
      <c r="Q33" s="383"/>
      <c r="R33" s="384"/>
      <c r="S33" s="382">
        <v>2030</v>
      </c>
      <c r="T33" s="383"/>
      <c r="U33" s="383"/>
      <c r="V33" s="384"/>
      <c r="W33" s="382">
        <v>2031</v>
      </c>
      <c r="X33" s="383"/>
      <c r="Y33" s="383"/>
      <c r="Z33" s="384"/>
      <c r="AA33" s="382"/>
      <c r="AB33" s="383"/>
      <c r="AC33" s="383"/>
      <c r="AD33" s="384"/>
      <c r="AE33" s="382"/>
      <c r="AF33" s="383"/>
      <c r="AG33" s="383"/>
      <c r="AH33" s="384"/>
      <c r="AI33" s="382"/>
      <c r="AJ33" s="383"/>
      <c r="AK33" s="383"/>
      <c r="AL33" s="384"/>
      <c r="AM33" s="382"/>
      <c r="AN33" s="383"/>
      <c r="AO33" s="383"/>
      <c r="AP33" s="384"/>
    </row>
    <row r="34" spans="1:42">
      <c r="A34" s="24"/>
      <c r="B34" s="24"/>
      <c r="C34" s="25" t="s">
        <v>497</v>
      </c>
      <c r="D34" s="25" t="s">
        <v>498</v>
      </c>
      <c r="E34" s="25" t="s">
        <v>499</v>
      </c>
      <c r="F34" s="25" t="s">
        <v>500</v>
      </c>
      <c r="G34" s="25" t="s">
        <v>497</v>
      </c>
      <c r="H34" s="25" t="s">
        <v>498</v>
      </c>
      <c r="I34" s="25" t="s">
        <v>499</v>
      </c>
      <c r="J34" s="25" t="s">
        <v>500</v>
      </c>
      <c r="K34" s="25" t="s">
        <v>497</v>
      </c>
      <c r="L34" s="25" t="s">
        <v>498</v>
      </c>
      <c r="M34" s="25" t="s">
        <v>499</v>
      </c>
      <c r="N34" s="25" t="s">
        <v>500</v>
      </c>
      <c r="O34" s="25" t="s">
        <v>497</v>
      </c>
      <c r="P34" s="25" t="s">
        <v>498</v>
      </c>
      <c r="Q34" s="25" t="s">
        <v>499</v>
      </c>
      <c r="R34" s="25" t="s">
        <v>500</v>
      </c>
      <c r="S34" s="25" t="s">
        <v>497</v>
      </c>
      <c r="T34" s="25" t="s">
        <v>498</v>
      </c>
      <c r="U34" s="25" t="s">
        <v>499</v>
      </c>
      <c r="V34" s="25" t="s">
        <v>500</v>
      </c>
      <c r="W34" s="25" t="s">
        <v>497</v>
      </c>
      <c r="X34" s="25" t="s">
        <v>498</v>
      </c>
      <c r="Y34" s="25" t="s">
        <v>499</v>
      </c>
      <c r="Z34" s="25" t="s">
        <v>500</v>
      </c>
      <c r="AA34" s="25"/>
      <c r="AB34" s="25"/>
      <c r="AC34" s="25"/>
      <c r="AD34" s="25"/>
      <c r="AE34" s="25"/>
      <c r="AF34" s="25"/>
      <c r="AG34" s="25"/>
      <c r="AH34" s="25"/>
      <c r="AI34" s="25"/>
      <c r="AJ34" s="25"/>
      <c r="AK34" s="25"/>
      <c r="AL34" s="25"/>
      <c r="AM34" s="25"/>
      <c r="AN34" s="25"/>
      <c r="AO34" s="25"/>
      <c r="AP34" s="25"/>
    </row>
    <row r="35" spans="1:42">
      <c r="A35" s="24"/>
      <c r="B35" s="34" t="s">
        <v>512</v>
      </c>
      <c r="C35" s="109">
        <v>0</v>
      </c>
      <c r="D35" s="109">
        <v>0</v>
      </c>
      <c r="E35" s="109">
        <v>0</v>
      </c>
      <c r="F35" s="109">
        <v>0</v>
      </c>
      <c r="G35" s="109">
        <v>0</v>
      </c>
      <c r="H35" s="109">
        <v>0</v>
      </c>
      <c r="I35" s="109">
        <v>0</v>
      </c>
      <c r="J35" s="109">
        <v>0</v>
      </c>
      <c r="K35" s="109">
        <v>0</v>
      </c>
      <c r="L35" s="109">
        <v>0</v>
      </c>
      <c r="M35" s="109">
        <v>0</v>
      </c>
      <c r="N35" s="109">
        <v>0</v>
      </c>
      <c r="O35" s="109">
        <v>0</v>
      </c>
      <c r="P35" s="109">
        <v>0</v>
      </c>
      <c r="Q35" s="109">
        <v>0</v>
      </c>
      <c r="R35" s="109">
        <v>0</v>
      </c>
      <c r="S35" s="109">
        <v>0</v>
      </c>
      <c r="T35" s="109">
        <v>0</v>
      </c>
      <c r="U35" s="109">
        <v>0</v>
      </c>
      <c r="V35" s="109">
        <v>0</v>
      </c>
      <c r="W35" s="109">
        <v>0</v>
      </c>
      <c r="X35" s="109">
        <v>0</v>
      </c>
      <c r="Y35" s="109">
        <v>0</v>
      </c>
      <c r="Z35" s="109">
        <v>0</v>
      </c>
      <c r="AA35" s="109"/>
      <c r="AB35" s="109"/>
      <c r="AC35" s="109"/>
      <c r="AD35" s="109"/>
      <c r="AE35" s="109"/>
      <c r="AF35" s="109"/>
      <c r="AG35" s="109"/>
      <c r="AH35" s="109"/>
      <c r="AI35" s="109"/>
      <c r="AJ35" s="109"/>
      <c r="AK35" s="109"/>
      <c r="AL35" s="109"/>
      <c r="AM35" s="109"/>
      <c r="AN35" s="109"/>
      <c r="AO35" s="109"/>
      <c r="AP35" s="109"/>
    </row>
    <row r="36" spans="1:42">
      <c r="A36" s="389" t="s">
        <v>510</v>
      </c>
      <c r="B36" s="390"/>
      <c r="C36" s="104">
        <f>C35*$B$31</f>
        <v>0</v>
      </c>
      <c r="D36" s="104">
        <f t="shared" ref="D36:V36" si="16">D35*$B$31</f>
        <v>0</v>
      </c>
      <c r="E36" s="104">
        <f t="shared" si="16"/>
        <v>0</v>
      </c>
      <c r="F36" s="104">
        <f t="shared" si="16"/>
        <v>0</v>
      </c>
      <c r="G36" s="104">
        <f t="shared" si="16"/>
        <v>0</v>
      </c>
      <c r="H36" s="104">
        <f t="shared" si="16"/>
        <v>0</v>
      </c>
      <c r="I36" s="104">
        <f t="shared" si="16"/>
        <v>0</v>
      </c>
      <c r="J36" s="104">
        <f t="shared" si="16"/>
        <v>0</v>
      </c>
      <c r="K36" s="104">
        <f t="shared" si="16"/>
        <v>0</v>
      </c>
      <c r="L36" s="104">
        <f t="shared" si="16"/>
        <v>0</v>
      </c>
      <c r="M36" s="104">
        <f t="shared" si="16"/>
        <v>0</v>
      </c>
      <c r="N36" s="104">
        <f t="shared" si="16"/>
        <v>0</v>
      </c>
      <c r="O36" s="104">
        <f t="shared" si="16"/>
        <v>0</v>
      </c>
      <c r="P36" s="104">
        <f t="shared" si="16"/>
        <v>0</v>
      </c>
      <c r="Q36" s="104">
        <f t="shared" si="16"/>
        <v>0</v>
      </c>
      <c r="R36" s="104">
        <f t="shared" si="16"/>
        <v>0</v>
      </c>
      <c r="S36" s="104">
        <f t="shared" si="16"/>
        <v>0</v>
      </c>
      <c r="T36" s="104">
        <f t="shared" si="16"/>
        <v>0</v>
      </c>
      <c r="U36" s="104">
        <f t="shared" si="16"/>
        <v>0</v>
      </c>
      <c r="V36" s="104">
        <f t="shared" si="16"/>
        <v>0</v>
      </c>
      <c r="W36" s="104">
        <f t="shared" ref="W36:Z36" si="17">W35*$B$31</f>
        <v>0</v>
      </c>
      <c r="X36" s="104">
        <f t="shared" si="17"/>
        <v>0</v>
      </c>
      <c r="Y36" s="104">
        <f t="shared" si="17"/>
        <v>0</v>
      </c>
      <c r="Z36" s="104">
        <f t="shared" si="17"/>
        <v>0</v>
      </c>
      <c r="AA36" s="104"/>
      <c r="AB36" s="104"/>
      <c r="AC36" s="104"/>
      <c r="AD36" s="104"/>
      <c r="AE36" s="104"/>
      <c r="AF36" s="104"/>
      <c r="AG36" s="104"/>
      <c r="AH36" s="104"/>
      <c r="AI36" s="104"/>
      <c r="AJ36" s="104"/>
      <c r="AK36" s="104"/>
      <c r="AL36" s="104"/>
      <c r="AM36" s="104"/>
      <c r="AN36" s="104"/>
      <c r="AO36" s="104"/>
      <c r="AP36" s="104"/>
    </row>
    <row r="37" spans="1:42" ht="13.5" thickBot="1">
      <c r="A37" s="24"/>
      <c r="B37" s="24"/>
      <c r="C37" s="24"/>
      <c r="D37" s="24"/>
      <c r="E37" s="24"/>
      <c r="F37" s="42">
        <f>SUM(C36:F36)</f>
        <v>0</v>
      </c>
      <c r="G37" s="24"/>
      <c r="H37" s="24"/>
      <c r="I37" s="24"/>
      <c r="J37" s="42">
        <f>SUM(G36:J36)</f>
        <v>0</v>
      </c>
      <c r="K37" s="24"/>
      <c r="L37" s="24"/>
      <c r="M37" s="24"/>
      <c r="N37" s="42">
        <f>SUM(K36:N36)</f>
        <v>0</v>
      </c>
      <c r="O37" s="24"/>
      <c r="P37" s="24"/>
      <c r="Q37" s="24"/>
      <c r="R37" s="42">
        <f>SUM(O36:R36)</f>
        <v>0</v>
      </c>
      <c r="S37" s="24"/>
      <c r="T37" s="24"/>
      <c r="U37" s="24"/>
      <c r="V37" s="42">
        <f>SUM(S36:V36)</f>
        <v>0</v>
      </c>
      <c r="W37" s="24"/>
      <c r="X37" s="24"/>
      <c r="Y37" s="24"/>
      <c r="Z37" s="42">
        <f>SUM(W36:Z36)</f>
        <v>0</v>
      </c>
      <c r="AA37" s="24"/>
      <c r="AB37" s="24"/>
      <c r="AC37" s="24"/>
      <c r="AD37" s="42"/>
      <c r="AE37" s="24"/>
      <c r="AF37" s="24"/>
      <c r="AG37" s="24"/>
      <c r="AH37" s="42"/>
      <c r="AI37" s="24"/>
      <c r="AJ37" s="24"/>
      <c r="AK37" s="24"/>
      <c r="AL37" s="42"/>
      <c r="AM37" s="24"/>
      <c r="AN37" s="24"/>
      <c r="AO37" s="24"/>
      <c r="AP37" s="42"/>
    </row>
  </sheetData>
  <mergeCells count="48">
    <mergeCell ref="AI2:AL2"/>
    <mergeCell ref="AI12:AL12"/>
    <mergeCell ref="AI25:AL25"/>
    <mergeCell ref="AI33:AL33"/>
    <mergeCell ref="AM2:AP2"/>
    <mergeCell ref="AM12:AP12"/>
    <mergeCell ref="AM25:AP25"/>
    <mergeCell ref="AM33:AP33"/>
    <mergeCell ref="AA2:AD2"/>
    <mergeCell ref="AA12:AD12"/>
    <mergeCell ref="AA25:AD25"/>
    <mergeCell ref="AA33:AD33"/>
    <mergeCell ref="AE2:AH2"/>
    <mergeCell ref="AE12:AH12"/>
    <mergeCell ref="AE25:AH25"/>
    <mergeCell ref="AE33:AH33"/>
    <mergeCell ref="A36:B36"/>
    <mergeCell ref="C33:F33"/>
    <mergeCell ref="G33:J33"/>
    <mergeCell ref="K33:N33"/>
    <mergeCell ref="A27:B27"/>
    <mergeCell ref="A28:B28"/>
    <mergeCell ref="A4:B4"/>
    <mergeCell ref="A5:B5"/>
    <mergeCell ref="A8:B8"/>
    <mergeCell ref="A9:B9"/>
    <mergeCell ref="O25:R25"/>
    <mergeCell ref="C12:F12"/>
    <mergeCell ref="A7:B7"/>
    <mergeCell ref="G12:J12"/>
    <mergeCell ref="K12:N12"/>
    <mergeCell ref="O12:R12"/>
    <mergeCell ref="C25:F25"/>
    <mergeCell ref="C2:F2"/>
    <mergeCell ref="G2:J2"/>
    <mergeCell ref="K2:N2"/>
    <mergeCell ref="O2:R2"/>
    <mergeCell ref="G25:J25"/>
    <mergeCell ref="W2:Z2"/>
    <mergeCell ref="W12:Z12"/>
    <mergeCell ref="W25:Z25"/>
    <mergeCell ref="W33:Z33"/>
    <mergeCell ref="K25:N25"/>
    <mergeCell ref="S2:V2"/>
    <mergeCell ref="S33:V33"/>
    <mergeCell ref="S25:V25"/>
    <mergeCell ref="O33:R33"/>
    <mergeCell ref="S12:V12"/>
  </mergeCells>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8">
    <tabColor theme="9" tint="-0.249977111117893"/>
  </sheetPr>
  <dimension ref="A1:AP138"/>
  <sheetViews>
    <sheetView showGridLines="0" topLeftCell="A100" zoomScaleNormal="100" workbookViewId="0"/>
  </sheetViews>
  <sheetFormatPr defaultRowHeight="14.25"/>
  <cols>
    <col min="1" max="1" width="58" customWidth="1"/>
    <col min="2" max="2" width="14.125" bestFit="1" customWidth="1"/>
    <col min="3" max="5" width="10.75" bestFit="1" customWidth="1"/>
    <col min="6" max="6" width="14.125" bestFit="1" customWidth="1"/>
    <col min="7" max="7" width="15.25" bestFit="1" customWidth="1"/>
    <col min="8" max="14" width="14.25" bestFit="1" customWidth="1"/>
    <col min="15" max="42" width="15.875" bestFit="1" customWidth="1"/>
  </cols>
  <sheetData>
    <row r="1" spans="1:42">
      <c r="C1" s="382">
        <v>2026</v>
      </c>
      <c r="D1" s="383"/>
      <c r="E1" s="383"/>
      <c r="F1" s="384"/>
      <c r="G1" s="382">
        <v>2027</v>
      </c>
      <c r="H1" s="383"/>
      <c r="I1" s="383"/>
      <c r="J1" s="384"/>
      <c r="K1" s="382">
        <v>2028</v>
      </c>
      <c r="L1" s="383"/>
      <c r="M1" s="383"/>
      <c r="N1" s="384"/>
      <c r="O1" s="382">
        <v>2029</v>
      </c>
      <c r="P1" s="383"/>
      <c r="Q1" s="383"/>
      <c r="R1" s="384"/>
      <c r="S1" s="382">
        <v>2030</v>
      </c>
      <c r="T1" s="383"/>
      <c r="U1" s="383"/>
      <c r="V1" s="384"/>
      <c r="W1" s="382">
        <v>2031</v>
      </c>
      <c r="X1" s="383"/>
      <c r="Y1" s="383"/>
      <c r="Z1" s="384"/>
      <c r="AA1" s="382"/>
      <c r="AB1" s="383"/>
      <c r="AC1" s="383"/>
      <c r="AD1" s="384"/>
      <c r="AE1" s="382"/>
      <c r="AF1" s="383"/>
      <c r="AG1" s="383"/>
      <c r="AH1" s="384"/>
      <c r="AI1" s="382"/>
      <c r="AJ1" s="383"/>
      <c r="AK1" s="383"/>
      <c r="AL1" s="384"/>
      <c r="AM1" s="382"/>
      <c r="AN1" s="383"/>
      <c r="AO1" s="383"/>
      <c r="AP1" s="384"/>
    </row>
    <row r="2" spans="1:42">
      <c r="C2" s="25" t="s">
        <v>497</v>
      </c>
      <c r="D2" s="25" t="s">
        <v>498</v>
      </c>
      <c r="E2" s="25" t="s">
        <v>499</v>
      </c>
      <c r="F2" s="25" t="s">
        <v>500</v>
      </c>
      <c r="G2" s="25" t="s">
        <v>497</v>
      </c>
      <c r="H2" s="25" t="s">
        <v>498</v>
      </c>
      <c r="I2" s="25" t="s">
        <v>499</v>
      </c>
      <c r="J2" s="25" t="s">
        <v>500</v>
      </c>
      <c r="K2" s="25" t="s">
        <v>497</v>
      </c>
      <c r="L2" s="25" t="s">
        <v>498</v>
      </c>
      <c r="M2" s="25" t="s">
        <v>499</v>
      </c>
      <c r="N2" s="25" t="s">
        <v>500</v>
      </c>
      <c r="O2" s="25" t="s">
        <v>497</v>
      </c>
      <c r="P2" s="25" t="s">
        <v>498</v>
      </c>
      <c r="Q2" s="25" t="s">
        <v>499</v>
      </c>
      <c r="R2" s="25" t="s">
        <v>500</v>
      </c>
      <c r="S2" s="25" t="s">
        <v>497</v>
      </c>
      <c r="T2" s="25" t="s">
        <v>498</v>
      </c>
      <c r="U2" s="25" t="s">
        <v>499</v>
      </c>
      <c r="V2" s="25" t="s">
        <v>500</v>
      </c>
      <c r="W2" s="25" t="s">
        <v>497</v>
      </c>
      <c r="X2" s="25" t="s">
        <v>498</v>
      </c>
      <c r="Y2" s="25" t="s">
        <v>499</v>
      </c>
      <c r="Z2" s="25" t="s">
        <v>500</v>
      </c>
      <c r="AA2" s="25"/>
      <c r="AB2" s="25"/>
      <c r="AC2" s="25"/>
      <c r="AD2" s="25"/>
      <c r="AE2" s="25"/>
      <c r="AF2" s="25"/>
      <c r="AG2" s="25"/>
      <c r="AH2" s="25"/>
      <c r="AI2" s="25"/>
      <c r="AJ2" s="25"/>
      <c r="AK2" s="25"/>
      <c r="AL2" s="25"/>
      <c r="AM2" s="25"/>
      <c r="AN2" s="25"/>
      <c r="AO2" s="25"/>
      <c r="AP2" s="25"/>
    </row>
    <row r="3" spans="1:42">
      <c r="A3" s="408" t="s">
        <v>513</v>
      </c>
      <c r="B3" s="409"/>
      <c r="C3" s="84">
        <f>('D&amp;A CAPEX'!$G$38)/4</f>
        <v>0</v>
      </c>
      <c r="D3" s="87">
        <f>('D&amp;A CAPEX'!$G$38)/4</f>
        <v>0</v>
      </c>
      <c r="E3" s="87">
        <f>('D&amp;A CAPEX'!$G$38)/4</f>
        <v>0</v>
      </c>
      <c r="F3" s="88">
        <f>('D&amp;A CAPEX'!$G$38)/4</f>
        <v>0</v>
      </c>
      <c r="G3" s="84">
        <f>'D&amp;A CAPEX'!$H$38/4</f>
        <v>160251250</v>
      </c>
      <c r="H3" s="87">
        <f>'D&amp;A CAPEX'!$H$38/4</f>
        <v>160251250</v>
      </c>
      <c r="I3" s="87">
        <f>'D&amp;A CAPEX'!$H$38/4</f>
        <v>160251250</v>
      </c>
      <c r="J3" s="88">
        <f>'D&amp;A CAPEX'!$H$38/4</f>
        <v>160251250</v>
      </c>
      <c r="K3" s="84">
        <f>'D&amp;A CAPEX'!$I$38/4</f>
        <v>132948250</v>
      </c>
      <c r="L3" s="87">
        <f>'D&amp;A CAPEX'!$I$38/4</f>
        <v>132948250</v>
      </c>
      <c r="M3" s="87">
        <f>'D&amp;A CAPEX'!$I$38/4</f>
        <v>132948250</v>
      </c>
      <c r="N3" s="88">
        <f>'D&amp;A CAPEX'!$I$38/4</f>
        <v>132948250</v>
      </c>
      <c r="O3" s="84">
        <f>'D&amp;A CAPEX'!$J$38/4</f>
        <v>111056631.25</v>
      </c>
      <c r="P3" s="87">
        <f>'D&amp;A CAPEX'!$J$38/4</f>
        <v>111056631.25</v>
      </c>
      <c r="Q3" s="87">
        <f>'D&amp;A CAPEX'!$J$38/4</f>
        <v>111056631.25</v>
      </c>
      <c r="R3" s="88">
        <f>'D&amp;A CAPEX'!$J$38/4</f>
        <v>111056631.25</v>
      </c>
      <c r="S3" s="84">
        <f>'D&amp;A CAPEX'!$K$38/4</f>
        <v>93496482.8125</v>
      </c>
      <c r="T3" s="87">
        <f>'D&amp;A CAPEX'!$K$38/4</f>
        <v>93496482.8125</v>
      </c>
      <c r="U3" s="87">
        <f>'D&amp;A CAPEX'!$K$38/4</f>
        <v>93496482.8125</v>
      </c>
      <c r="V3" s="88">
        <f>'D&amp;A CAPEX'!$K$38/4</f>
        <v>93496482.8125</v>
      </c>
      <c r="W3" s="84">
        <f>'D&amp;A CAPEX'!$L$38/4</f>
        <v>89403784.109375</v>
      </c>
      <c r="X3" s="87">
        <f>'D&amp;A CAPEX'!$L$38/4</f>
        <v>89403784.109375</v>
      </c>
      <c r="Y3" s="87">
        <f>'D&amp;A CAPEX'!$L$38/4</f>
        <v>89403784.109375</v>
      </c>
      <c r="Z3" s="88">
        <f>'D&amp;A CAPEX'!$L$38/4</f>
        <v>89403784.109375</v>
      </c>
      <c r="AA3" s="84"/>
      <c r="AB3" s="87"/>
      <c r="AC3" s="87"/>
      <c r="AD3" s="88"/>
      <c r="AE3" s="84"/>
      <c r="AF3" s="87"/>
      <c r="AG3" s="87"/>
      <c r="AH3" s="88"/>
      <c r="AI3" s="84"/>
      <c r="AJ3" s="87"/>
      <c r="AK3" s="87"/>
      <c r="AL3" s="88"/>
      <c r="AM3" s="84"/>
      <c r="AN3" s="87"/>
      <c r="AO3" s="87"/>
      <c r="AP3" s="88"/>
    </row>
    <row r="4" spans="1:42">
      <c r="A4" s="406" t="s">
        <v>530</v>
      </c>
      <c r="B4" s="407"/>
      <c r="C4" s="85">
        <f>C70</f>
        <v>0</v>
      </c>
      <c r="D4" s="85">
        <f t="shared" ref="D4:Z4" si="0">D70</f>
        <v>0</v>
      </c>
      <c r="E4" s="85">
        <f t="shared" si="0"/>
        <v>0</v>
      </c>
      <c r="F4" s="85">
        <f t="shared" si="0"/>
        <v>0</v>
      </c>
      <c r="G4" s="85">
        <f t="shared" si="0"/>
        <v>37011000</v>
      </c>
      <c r="H4" s="86">
        <f t="shared" si="0"/>
        <v>37011000</v>
      </c>
      <c r="I4" s="86">
        <f t="shared" si="0"/>
        <v>37011000</v>
      </c>
      <c r="J4" s="89">
        <f t="shared" si="0"/>
        <v>37011000</v>
      </c>
      <c r="K4" s="85">
        <f t="shared" si="0"/>
        <v>38121330</v>
      </c>
      <c r="L4" s="86">
        <f t="shared" si="0"/>
        <v>38121330</v>
      </c>
      <c r="M4" s="86">
        <f t="shared" si="0"/>
        <v>38121330</v>
      </c>
      <c r="N4" s="89">
        <f t="shared" si="0"/>
        <v>38121330</v>
      </c>
      <c r="O4" s="85">
        <f t="shared" si="0"/>
        <v>39264969.899999999</v>
      </c>
      <c r="P4" s="86">
        <f t="shared" si="0"/>
        <v>39264969.899999999</v>
      </c>
      <c r="Q4" s="86">
        <f t="shared" si="0"/>
        <v>39264969.899999999</v>
      </c>
      <c r="R4" s="89">
        <f t="shared" si="0"/>
        <v>39264969.899999999</v>
      </c>
      <c r="S4" s="85">
        <f t="shared" si="0"/>
        <v>40442918.997000001</v>
      </c>
      <c r="T4" s="86">
        <f t="shared" si="0"/>
        <v>40442918.997000001</v>
      </c>
      <c r="U4" s="86">
        <f t="shared" si="0"/>
        <v>40442918.997000001</v>
      </c>
      <c r="V4" s="89">
        <f t="shared" si="0"/>
        <v>40442918.997000001</v>
      </c>
      <c r="W4" s="85">
        <f t="shared" si="0"/>
        <v>41656206.566910006</v>
      </c>
      <c r="X4" s="86">
        <f t="shared" si="0"/>
        <v>41656206.566910006</v>
      </c>
      <c r="Y4" s="86">
        <f t="shared" si="0"/>
        <v>41656206.566910006</v>
      </c>
      <c r="Z4" s="89">
        <f t="shared" si="0"/>
        <v>41656206.566910006</v>
      </c>
      <c r="AA4" s="85"/>
      <c r="AB4" s="86"/>
      <c r="AC4" s="86"/>
      <c r="AD4" s="89"/>
      <c r="AE4" s="85"/>
      <c r="AF4" s="86"/>
      <c r="AG4" s="86"/>
      <c r="AH4" s="89"/>
      <c r="AI4" s="85"/>
      <c r="AJ4" s="86"/>
      <c r="AK4" s="86"/>
      <c r="AL4" s="89"/>
      <c r="AM4" s="85"/>
      <c r="AN4" s="86"/>
      <c r="AO4" s="86"/>
      <c r="AP4" s="89"/>
    </row>
    <row r="5" spans="1:42">
      <c r="A5" s="406" t="s">
        <v>1537</v>
      </c>
      <c r="B5" s="407"/>
      <c r="C5" s="85">
        <f>C55</f>
        <v>624000</v>
      </c>
      <c r="D5" s="85">
        <f>D55</f>
        <v>624000</v>
      </c>
      <c r="E5" s="85">
        <f>E55</f>
        <v>624000</v>
      </c>
      <c r="F5" s="85">
        <f>F55</f>
        <v>624000</v>
      </c>
      <c r="G5" s="85">
        <f>SUM(G55:G55)</f>
        <v>3505200</v>
      </c>
      <c r="H5" s="86">
        <f t="shared" ref="H5:V5" si="1">SUM(H55:H55)</f>
        <v>3505200</v>
      </c>
      <c r="I5" s="86">
        <f t="shared" si="1"/>
        <v>3505200</v>
      </c>
      <c r="J5" s="89">
        <f t="shared" si="1"/>
        <v>3505200</v>
      </c>
      <c r="K5" s="85">
        <f>SUM(K55:K55)</f>
        <v>3610356</v>
      </c>
      <c r="L5" s="86">
        <f>SUM(L55:L55)</f>
        <v>3610356</v>
      </c>
      <c r="M5" s="86">
        <f t="shared" si="1"/>
        <v>3610356</v>
      </c>
      <c r="N5" s="89">
        <f>SUM(N55:N55)</f>
        <v>3610356</v>
      </c>
      <c r="O5" s="85">
        <f t="shared" si="1"/>
        <v>3718666.68</v>
      </c>
      <c r="P5" s="86">
        <f t="shared" si="1"/>
        <v>3718666.68</v>
      </c>
      <c r="Q5" s="86">
        <f t="shared" si="1"/>
        <v>3718666.68</v>
      </c>
      <c r="R5" s="89">
        <f t="shared" si="1"/>
        <v>3718666.68</v>
      </c>
      <c r="S5" s="85">
        <f t="shared" si="1"/>
        <v>3830226.6804000004</v>
      </c>
      <c r="T5" s="86">
        <f t="shared" si="1"/>
        <v>3830226.6804000004</v>
      </c>
      <c r="U5" s="86">
        <f t="shared" si="1"/>
        <v>3830226.6804000004</v>
      </c>
      <c r="V5" s="89">
        <f t="shared" si="1"/>
        <v>3830226.6804000004</v>
      </c>
      <c r="W5" s="85">
        <f t="shared" ref="W5:Z5" si="2">SUM(W55:W55)</f>
        <v>3945133.4808120006</v>
      </c>
      <c r="X5" s="86">
        <f t="shared" si="2"/>
        <v>3945133.4808120006</v>
      </c>
      <c r="Y5" s="86">
        <f t="shared" si="2"/>
        <v>3945133.4808120006</v>
      </c>
      <c r="Z5" s="89">
        <f t="shared" si="2"/>
        <v>3945133.4808120006</v>
      </c>
      <c r="AA5" s="85">
        <f>W5*(1+Assumptions!$B$32)</f>
        <v>4063487.4852363607</v>
      </c>
      <c r="AB5" s="86">
        <f>X5*(1+Assumptions!$B$32)</f>
        <v>4063487.4852363607</v>
      </c>
      <c r="AC5" s="86">
        <f>Y5*(1+Assumptions!$B$32)</f>
        <v>4063487.4852363607</v>
      </c>
      <c r="AD5" s="89">
        <f>Z5*(1+Assumptions!$B$32)</f>
        <v>4063487.4852363607</v>
      </c>
      <c r="AE5" s="85">
        <f>AA5*(1+Assumptions!$B$32)</f>
        <v>4185392.1097934516</v>
      </c>
      <c r="AF5" s="86">
        <f>AB5*(1+Assumptions!$B$32)</f>
        <v>4185392.1097934516</v>
      </c>
      <c r="AG5" s="86">
        <f>AC5*(1+Assumptions!$B$32)</f>
        <v>4185392.1097934516</v>
      </c>
      <c r="AH5" s="89">
        <f>AD5*(1+Assumptions!$B$32)</f>
        <v>4185392.1097934516</v>
      </c>
      <c r="AI5" s="85">
        <f>AE5*(1+Assumptions!$B$32)</f>
        <v>4310953.8730872553</v>
      </c>
      <c r="AJ5" s="86">
        <f>AF5*(1+Assumptions!$B$32)</f>
        <v>4310953.8730872553</v>
      </c>
      <c r="AK5" s="86">
        <f>AG5*(1+Assumptions!$B$32)</f>
        <v>4310953.8730872553</v>
      </c>
      <c r="AL5" s="89">
        <f>AH5*(1+Assumptions!$B$32)</f>
        <v>4310953.8730872553</v>
      </c>
      <c r="AM5" s="85">
        <f>AI5*(1+Assumptions!$B$32)</f>
        <v>4440282.4892798727</v>
      </c>
      <c r="AN5" s="86">
        <f>AJ5*(1+Assumptions!$B$32)</f>
        <v>4440282.4892798727</v>
      </c>
      <c r="AO5" s="86">
        <f>AK5*(1+Assumptions!$B$32)</f>
        <v>4440282.4892798727</v>
      </c>
      <c r="AP5" s="89">
        <f>AL5*(1+Assumptions!$B$32)</f>
        <v>4440282.4892798727</v>
      </c>
    </row>
    <row r="6" spans="1:42">
      <c r="A6" s="406" t="s">
        <v>514</v>
      </c>
      <c r="B6" s="407"/>
      <c r="C6" s="85">
        <f t="shared" ref="C6:Z6" si="3">C39+C88+C124+C131</f>
        <v>162000</v>
      </c>
      <c r="D6" s="85">
        <f t="shared" si="3"/>
        <v>162000</v>
      </c>
      <c r="E6" s="85">
        <f t="shared" si="3"/>
        <v>162000</v>
      </c>
      <c r="F6" s="85">
        <f t="shared" si="3"/>
        <v>162000</v>
      </c>
      <c r="G6" s="85">
        <f>G39+G88+G124+G131</f>
        <v>625380</v>
      </c>
      <c r="H6" s="85">
        <f t="shared" si="3"/>
        <v>625380</v>
      </c>
      <c r="I6" s="85">
        <f t="shared" si="3"/>
        <v>625380</v>
      </c>
      <c r="J6" s="85">
        <f>J39+J88+J124+J131</f>
        <v>625380</v>
      </c>
      <c r="K6" s="85">
        <f t="shared" si="3"/>
        <v>642906.60000000009</v>
      </c>
      <c r="L6" s="85">
        <f t="shared" si="3"/>
        <v>642906.60000000009</v>
      </c>
      <c r="M6" s="85">
        <f t="shared" si="3"/>
        <v>642906.60000000009</v>
      </c>
      <c r="N6" s="85">
        <f t="shared" si="3"/>
        <v>642906.60000000009</v>
      </c>
      <c r="O6" s="85">
        <f t="shared" si="3"/>
        <v>661660.06200000003</v>
      </c>
      <c r="P6" s="85">
        <f t="shared" si="3"/>
        <v>661660.06200000003</v>
      </c>
      <c r="Q6" s="85">
        <f t="shared" si="3"/>
        <v>661660.06200000003</v>
      </c>
      <c r="R6" s="85">
        <f t="shared" si="3"/>
        <v>661660.06200000003</v>
      </c>
      <c r="S6" s="85">
        <f t="shared" si="3"/>
        <v>681726.26634000009</v>
      </c>
      <c r="T6" s="85">
        <f t="shared" si="3"/>
        <v>681726.26634000009</v>
      </c>
      <c r="U6" s="85">
        <f t="shared" si="3"/>
        <v>681726.26634000009</v>
      </c>
      <c r="V6" s="85">
        <f t="shared" si="3"/>
        <v>681726.26634000009</v>
      </c>
      <c r="W6" s="85">
        <f t="shared" si="3"/>
        <v>703197.10498380009</v>
      </c>
      <c r="X6" s="85">
        <f t="shared" si="3"/>
        <v>703197.10498380009</v>
      </c>
      <c r="Y6" s="85">
        <f t="shared" si="3"/>
        <v>703197.10498380009</v>
      </c>
      <c r="Z6" s="85">
        <f t="shared" si="3"/>
        <v>703197.10498380009</v>
      </c>
      <c r="AA6" s="85">
        <f>W6*(1+Assumptions!$B$32)</f>
        <v>724293.01813331409</v>
      </c>
      <c r="AB6" s="85">
        <f>X6*(1+Assumptions!$B$32)</f>
        <v>724293.01813331409</v>
      </c>
      <c r="AC6" s="85">
        <f>Y6*(1+Assumptions!$B$32)</f>
        <v>724293.01813331409</v>
      </c>
      <c r="AD6" s="85">
        <f>Z6*(1+Assumptions!$B$32)</f>
        <v>724293.01813331409</v>
      </c>
      <c r="AE6" s="85">
        <f>AA6*(1+Assumptions!$B$32)</f>
        <v>746021.8086773135</v>
      </c>
      <c r="AF6" s="85">
        <f>AB6*(1+Assumptions!$B$32)</f>
        <v>746021.8086773135</v>
      </c>
      <c r="AG6" s="85">
        <f>AC6*(1+Assumptions!$B$32)</f>
        <v>746021.8086773135</v>
      </c>
      <c r="AH6" s="85">
        <f>AD6*(1+Assumptions!$B$32)</f>
        <v>746021.8086773135</v>
      </c>
      <c r="AI6" s="85">
        <f>AE6*(1+Assumptions!$B$32)</f>
        <v>768402.46293763292</v>
      </c>
      <c r="AJ6" s="85">
        <f>AF6*(1+Assumptions!$B$32)</f>
        <v>768402.46293763292</v>
      </c>
      <c r="AK6" s="85">
        <f>AG6*(1+Assumptions!$B$32)</f>
        <v>768402.46293763292</v>
      </c>
      <c r="AL6" s="85">
        <f>AH6*(1+Assumptions!$B$32)</f>
        <v>768402.46293763292</v>
      </c>
      <c r="AM6" s="85">
        <f>AI6*(1+Assumptions!$B$32)</f>
        <v>791454.5368257619</v>
      </c>
      <c r="AN6" s="85">
        <f>AJ6*(1+Assumptions!$B$32)</f>
        <v>791454.5368257619</v>
      </c>
      <c r="AO6" s="85">
        <f>AK6*(1+Assumptions!$B$32)</f>
        <v>791454.5368257619</v>
      </c>
      <c r="AP6" s="85">
        <f>AL6*(1+Assumptions!$B$32)</f>
        <v>791454.5368257619</v>
      </c>
    </row>
    <row r="7" spans="1:42">
      <c r="A7" s="406" t="s">
        <v>515</v>
      </c>
      <c r="B7" s="407"/>
      <c r="C7" s="85">
        <f>SUM(C79:C80)</f>
        <v>15000</v>
      </c>
      <c r="D7" s="86">
        <f t="shared" ref="D7:V7" si="4">SUM(D79:D80)</f>
        <v>15000</v>
      </c>
      <c r="E7" s="86">
        <f t="shared" si="4"/>
        <v>15000</v>
      </c>
      <c r="F7" s="89">
        <f t="shared" si="4"/>
        <v>15000</v>
      </c>
      <c r="G7" s="85">
        <f t="shared" si="4"/>
        <v>15000</v>
      </c>
      <c r="H7" s="86">
        <f t="shared" si="4"/>
        <v>15000</v>
      </c>
      <c r="I7" s="86">
        <f t="shared" si="4"/>
        <v>15000</v>
      </c>
      <c r="J7" s="89">
        <f t="shared" si="4"/>
        <v>15000</v>
      </c>
      <c r="K7" s="85">
        <f t="shared" si="4"/>
        <v>15000</v>
      </c>
      <c r="L7" s="86">
        <f t="shared" si="4"/>
        <v>15000</v>
      </c>
      <c r="M7" s="86">
        <f t="shared" si="4"/>
        <v>15000</v>
      </c>
      <c r="N7" s="89">
        <f t="shared" si="4"/>
        <v>15000</v>
      </c>
      <c r="O7" s="85">
        <f t="shared" si="4"/>
        <v>15000</v>
      </c>
      <c r="P7" s="86">
        <f t="shared" si="4"/>
        <v>15000</v>
      </c>
      <c r="Q7" s="86">
        <f t="shared" si="4"/>
        <v>15000</v>
      </c>
      <c r="R7" s="89">
        <f t="shared" si="4"/>
        <v>15000</v>
      </c>
      <c r="S7" s="85">
        <f t="shared" si="4"/>
        <v>15000</v>
      </c>
      <c r="T7" s="86">
        <f t="shared" si="4"/>
        <v>15000</v>
      </c>
      <c r="U7" s="86">
        <f t="shared" si="4"/>
        <v>15000</v>
      </c>
      <c r="V7" s="89">
        <f t="shared" si="4"/>
        <v>15000</v>
      </c>
      <c r="W7" s="85">
        <f t="shared" ref="W7:Z7" si="5">SUM(W79:W80)</f>
        <v>15000</v>
      </c>
      <c r="X7" s="86">
        <f t="shared" si="5"/>
        <v>15000</v>
      </c>
      <c r="Y7" s="86">
        <f t="shared" si="5"/>
        <v>15000</v>
      </c>
      <c r="Z7" s="89">
        <f t="shared" si="5"/>
        <v>15000</v>
      </c>
      <c r="AA7" s="85">
        <v>15000</v>
      </c>
      <c r="AB7" s="86">
        <v>15000</v>
      </c>
      <c r="AC7" s="86">
        <v>15000</v>
      </c>
      <c r="AD7" s="89">
        <v>15000</v>
      </c>
      <c r="AE7" s="85">
        <v>15000</v>
      </c>
      <c r="AF7" s="86">
        <v>15000</v>
      </c>
      <c r="AG7" s="86">
        <v>15000</v>
      </c>
      <c r="AH7" s="89">
        <v>15000</v>
      </c>
      <c r="AI7" s="85">
        <v>15000</v>
      </c>
      <c r="AJ7" s="86">
        <v>15000</v>
      </c>
      <c r="AK7" s="86">
        <v>15000</v>
      </c>
      <c r="AL7" s="89">
        <v>15000</v>
      </c>
      <c r="AM7" s="85">
        <v>15000</v>
      </c>
      <c r="AN7" s="86">
        <v>15000</v>
      </c>
      <c r="AO7" s="86">
        <v>15000</v>
      </c>
      <c r="AP7" s="89">
        <v>15000</v>
      </c>
    </row>
    <row r="8" spans="1:42">
      <c r="A8" s="406" t="s">
        <v>252</v>
      </c>
      <c r="B8" s="407"/>
      <c r="C8" s="89">
        <f>C25</f>
        <v>0</v>
      </c>
      <c r="D8" s="89">
        <f>D25</f>
        <v>0</v>
      </c>
      <c r="E8" s="89">
        <f>E25</f>
        <v>0</v>
      </c>
      <c r="F8" s="89">
        <f>F25</f>
        <v>0</v>
      </c>
      <c r="G8" s="85">
        <f>SUM(G25:G25)</f>
        <v>1625625</v>
      </c>
      <c r="H8" s="86">
        <f t="shared" ref="H8:V8" si="6">SUM(H25:H25)</f>
        <v>1625625</v>
      </c>
      <c r="I8" s="86">
        <f t="shared" si="6"/>
        <v>1625625</v>
      </c>
      <c r="J8" s="89">
        <f>SUM(J25:J25)</f>
        <v>1625625</v>
      </c>
      <c r="K8" s="85">
        <f t="shared" si="6"/>
        <v>1698778.125</v>
      </c>
      <c r="L8" s="86">
        <f t="shared" si="6"/>
        <v>1698778.125</v>
      </c>
      <c r="M8" s="86">
        <f t="shared" si="6"/>
        <v>1698778.125</v>
      </c>
      <c r="N8" s="89">
        <f t="shared" si="6"/>
        <v>1698778.125</v>
      </c>
      <c r="O8" s="85">
        <f t="shared" si="6"/>
        <v>1775223.1406249998</v>
      </c>
      <c r="P8" s="86">
        <f t="shared" si="6"/>
        <v>1775223.1406249998</v>
      </c>
      <c r="Q8" s="86">
        <f t="shared" si="6"/>
        <v>1775223.1406249998</v>
      </c>
      <c r="R8" s="89">
        <f t="shared" si="6"/>
        <v>1775223.1406249998</v>
      </c>
      <c r="S8" s="85">
        <f t="shared" si="6"/>
        <v>1855108.1819531247</v>
      </c>
      <c r="T8" s="86">
        <f t="shared" si="6"/>
        <v>1855108.1819531247</v>
      </c>
      <c r="U8" s="86">
        <f t="shared" si="6"/>
        <v>1855108.1819531247</v>
      </c>
      <c r="V8" s="89">
        <f t="shared" si="6"/>
        <v>1855108.1819531247</v>
      </c>
      <c r="W8" s="85">
        <f t="shared" ref="W8:Z8" si="7">SUM(W25:W25)</f>
        <v>1938588.0501410151</v>
      </c>
      <c r="X8" s="86">
        <f t="shared" si="7"/>
        <v>1938588.0501410151</v>
      </c>
      <c r="Y8" s="86">
        <f t="shared" si="7"/>
        <v>1938588.0501410151</v>
      </c>
      <c r="Z8" s="89">
        <f t="shared" si="7"/>
        <v>1938588.0501410151</v>
      </c>
      <c r="AA8" s="85">
        <f>W8*(1+Assumptions!$B$32)</f>
        <v>1996745.6916452455</v>
      </c>
      <c r="AB8" s="86">
        <f>X8*(1+Assumptions!$B$32)</f>
        <v>1996745.6916452455</v>
      </c>
      <c r="AC8" s="86">
        <f>Y8*(1+Assumptions!$B$32)</f>
        <v>1996745.6916452455</v>
      </c>
      <c r="AD8" s="89">
        <f>Z8*(1+Assumptions!$B$32)</f>
        <v>1996745.6916452455</v>
      </c>
      <c r="AE8" s="85">
        <f>AA8*(1+Assumptions!$B$32)</f>
        <v>2056648.0623946029</v>
      </c>
      <c r="AF8" s="86">
        <f>AB8*(1+Assumptions!$B$32)</f>
        <v>2056648.0623946029</v>
      </c>
      <c r="AG8" s="86">
        <f>AC8*(1+Assumptions!$B$32)</f>
        <v>2056648.0623946029</v>
      </c>
      <c r="AH8" s="89">
        <f>AD8*(1+Assumptions!$B$32)</f>
        <v>2056648.0623946029</v>
      </c>
      <c r="AI8" s="85">
        <f>AE8*(1+Assumptions!$B$32)</f>
        <v>2118347.5042664409</v>
      </c>
      <c r="AJ8" s="86">
        <f>AF8*(1+Assumptions!$B$32)</f>
        <v>2118347.5042664409</v>
      </c>
      <c r="AK8" s="86">
        <f>AG8*(1+Assumptions!$B$32)</f>
        <v>2118347.5042664409</v>
      </c>
      <c r="AL8" s="89">
        <f>AH8*(1+Assumptions!$B$32)</f>
        <v>2118347.5042664409</v>
      </c>
      <c r="AM8" s="85">
        <f>AI8*(1+Assumptions!$B$32)</f>
        <v>2181897.9293944342</v>
      </c>
      <c r="AN8" s="86">
        <f>AJ8*(1+Assumptions!$B$32)</f>
        <v>2181897.9293944342</v>
      </c>
      <c r="AO8" s="86">
        <f>AK8*(1+Assumptions!$B$32)</f>
        <v>2181897.9293944342</v>
      </c>
      <c r="AP8" s="89">
        <f>AL8*(1+Assumptions!$B$32)</f>
        <v>2181897.9293944342</v>
      </c>
    </row>
    <row r="9" spans="1:42">
      <c r="A9" s="406" t="s">
        <v>516</v>
      </c>
      <c r="B9" s="407"/>
      <c r="C9" s="85">
        <f>C115</f>
        <v>0</v>
      </c>
      <c r="D9" s="86">
        <f t="shared" ref="D9:V9" si="8">D115</f>
        <v>0</v>
      </c>
      <c r="E9" s="86">
        <f t="shared" si="8"/>
        <v>0</v>
      </c>
      <c r="F9" s="89">
        <f t="shared" si="8"/>
        <v>0</v>
      </c>
      <c r="G9" s="85">
        <f t="shared" si="8"/>
        <v>650250</v>
      </c>
      <c r="H9" s="86">
        <f t="shared" si="8"/>
        <v>650250</v>
      </c>
      <c r="I9" s="86">
        <f t="shared" si="8"/>
        <v>650250</v>
      </c>
      <c r="J9" s="89">
        <f t="shared" si="8"/>
        <v>650250</v>
      </c>
      <c r="K9" s="85">
        <f t="shared" si="8"/>
        <v>679511.25</v>
      </c>
      <c r="L9" s="86">
        <f t="shared" si="8"/>
        <v>679511.25</v>
      </c>
      <c r="M9" s="86">
        <f t="shared" si="8"/>
        <v>679511.25</v>
      </c>
      <c r="N9" s="89">
        <f t="shared" si="8"/>
        <v>679511.25</v>
      </c>
      <c r="O9" s="85">
        <f t="shared" si="8"/>
        <v>710089.25624999998</v>
      </c>
      <c r="P9" s="86">
        <f t="shared" si="8"/>
        <v>710089.25624999998</v>
      </c>
      <c r="Q9" s="86">
        <f t="shared" si="8"/>
        <v>710089.25624999998</v>
      </c>
      <c r="R9" s="89">
        <f t="shared" si="8"/>
        <v>710089.25624999998</v>
      </c>
      <c r="S9" s="85">
        <f t="shared" si="8"/>
        <v>742043.27278124995</v>
      </c>
      <c r="T9" s="86">
        <f t="shared" si="8"/>
        <v>742043.27278124995</v>
      </c>
      <c r="U9" s="86">
        <f t="shared" si="8"/>
        <v>742043.27278124995</v>
      </c>
      <c r="V9" s="89">
        <f t="shared" si="8"/>
        <v>742043.27278124995</v>
      </c>
      <c r="W9" s="85">
        <f t="shared" ref="W9:Z9" si="9">W115</f>
        <v>775435.22005640611</v>
      </c>
      <c r="X9" s="86">
        <f t="shared" si="9"/>
        <v>775435.22005640611</v>
      </c>
      <c r="Y9" s="86">
        <f t="shared" si="9"/>
        <v>775435.22005640611</v>
      </c>
      <c r="Z9" s="89">
        <f t="shared" si="9"/>
        <v>775435.22005640611</v>
      </c>
      <c r="AA9" s="85">
        <f>W9*(1+Assumptions!$B$32)</f>
        <v>798698.27665809833</v>
      </c>
      <c r="AB9" s="86">
        <f>X9*(1+Assumptions!$B$32)</f>
        <v>798698.27665809833</v>
      </c>
      <c r="AC9" s="86">
        <f>Y9*(1+Assumptions!$B$32)</f>
        <v>798698.27665809833</v>
      </c>
      <c r="AD9" s="89">
        <f>Z9*(1+Assumptions!$B$32)</f>
        <v>798698.27665809833</v>
      </c>
      <c r="AE9" s="85">
        <f>AA9*(1+Assumptions!$B$32)</f>
        <v>822659.22495784133</v>
      </c>
      <c r="AF9" s="86">
        <f>AB9*(1+Assumptions!$B$32)</f>
        <v>822659.22495784133</v>
      </c>
      <c r="AG9" s="86">
        <f>AC9*(1+Assumptions!$B$32)</f>
        <v>822659.22495784133</v>
      </c>
      <c r="AH9" s="89">
        <f>AD9*(1+Assumptions!$B$32)</f>
        <v>822659.22495784133</v>
      </c>
      <c r="AI9" s="85">
        <f>AE9*(1+Assumptions!$B$32)</f>
        <v>847339.00170657656</v>
      </c>
      <c r="AJ9" s="86">
        <f>AF9*(1+Assumptions!$B$32)</f>
        <v>847339.00170657656</v>
      </c>
      <c r="AK9" s="86">
        <f>AG9*(1+Assumptions!$B$32)</f>
        <v>847339.00170657656</v>
      </c>
      <c r="AL9" s="89">
        <f>AH9*(1+Assumptions!$B$32)</f>
        <v>847339.00170657656</v>
      </c>
      <c r="AM9" s="85">
        <f>AI9*(1+Assumptions!$B$32)</f>
        <v>872759.17175777385</v>
      </c>
      <c r="AN9" s="86">
        <f>AJ9*(1+Assumptions!$B$32)</f>
        <v>872759.17175777385</v>
      </c>
      <c r="AO9" s="86">
        <f>AK9*(1+Assumptions!$B$32)</f>
        <v>872759.17175777385</v>
      </c>
      <c r="AP9" s="89">
        <f>AL9*(1+Assumptions!$B$32)</f>
        <v>872759.17175777385</v>
      </c>
    </row>
    <row r="10" spans="1:42">
      <c r="A10" s="406" t="s">
        <v>517</v>
      </c>
      <c r="B10" s="407"/>
      <c r="C10" s="85">
        <f>SUM(C99)</f>
        <v>150000</v>
      </c>
      <c r="D10" s="86">
        <f t="shared" ref="D10:V10" si="10">SUM(D99)</f>
        <v>150000</v>
      </c>
      <c r="E10" s="86">
        <f t="shared" si="10"/>
        <v>100000</v>
      </c>
      <c r="F10" s="89">
        <f t="shared" si="10"/>
        <v>0</v>
      </c>
      <c r="G10" s="85">
        <f>SUM(G99)</f>
        <v>3375000</v>
      </c>
      <c r="H10" s="86">
        <f t="shared" si="10"/>
        <v>3375000</v>
      </c>
      <c r="I10" s="86">
        <f t="shared" si="10"/>
        <v>3375000</v>
      </c>
      <c r="J10" s="89">
        <f>SUM(J99)</f>
        <v>3375000</v>
      </c>
      <c r="K10" s="85">
        <f t="shared" si="10"/>
        <v>3375000</v>
      </c>
      <c r="L10" s="86">
        <f t="shared" si="10"/>
        <v>3375000</v>
      </c>
      <c r="M10" s="86">
        <f t="shared" si="10"/>
        <v>3375000</v>
      </c>
      <c r="N10" s="89">
        <f t="shared" si="10"/>
        <v>3375000</v>
      </c>
      <c r="O10" s="85">
        <f t="shared" si="10"/>
        <v>3375000</v>
      </c>
      <c r="P10" s="86">
        <f t="shared" si="10"/>
        <v>3375000</v>
      </c>
      <c r="Q10" s="86">
        <f t="shared" si="10"/>
        <v>3375000</v>
      </c>
      <c r="R10" s="89">
        <f t="shared" si="10"/>
        <v>3375000</v>
      </c>
      <c r="S10" s="85">
        <f t="shared" si="10"/>
        <v>3375000</v>
      </c>
      <c r="T10" s="86">
        <f t="shared" si="10"/>
        <v>3375000</v>
      </c>
      <c r="U10" s="86">
        <f t="shared" si="10"/>
        <v>3375000</v>
      </c>
      <c r="V10" s="89">
        <f t="shared" si="10"/>
        <v>3375000</v>
      </c>
      <c r="W10" s="85">
        <f t="shared" ref="W10:Z10" si="11">SUM(W99)</f>
        <v>3375000</v>
      </c>
      <c r="X10" s="86">
        <f t="shared" si="11"/>
        <v>3375000</v>
      </c>
      <c r="Y10" s="86">
        <f t="shared" si="11"/>
        <v>3375000</v>
      </c>
      <c r="Z10" s="89">
        <f t="shared" si="11"/>
        <v>3375000</v>
      </c>
      <c r="AA10" s="85">
        <v>3375000</v>
      </c>
      <c r="AB10" s="86">
        <v>3375000</v>
      </c>
      <c r="AC10" s="86">
        <v>3375000</v>
      </c>
      <c r="AD10" s="89">
        <v>3375000</v>
      </c>
      <c r="AE10" s="85">
        <v>3375000</v>
      </c>
      <c r="AF10" s="86">
        <v>3375000</v>
      </c>
      <c r="AG10" s="86">
        <v>3375000</v>
      </c>
      <c r="AH10" s="89">
        <v>3375000</v>
      </c>
      <c r="AI10" s="85">
        <v>3375000</v>
      </c>
      <c r="AJ10" s="86">
        <v>3375000</v>
      </c>
      <c r="AK10" s="86">
        <v>3375000</v>
      </c>
      <c r="AL10" s="89">
        <v>3375000</v>
      </c>
      <c r="AM10" s="85">
        <v>3375000</v>
      </c>
      <c r="AN10" s="86">
        <v>3375000</v>
      </c>
      <c r="AO10" s="86">
        <v>3375000</v>
      </c>
      <c r="AP10" s="89">
        <v>3375000</v>
      </c>
    </row>
    <row r="11" spans="1:42">
      <c r="A11" s="410" t="s">
        <v>518</v>
      </c>
      <c r="B11" s="411"/>
      <c r="C11" s="90">
        <f>C107</f>
        <v>0</v>
      </c>
      <c r="D11" s="90">
        <f t="shared" ref="D11:V11" si="12">D107</f>
        <v>0</v>
      </c>
      <c r="E11" s="90">
        <f t="shared" si="12"/>
        <v>0</v>
      </c>
      <c r="F11" s="90">
        <f t="shared" si="12"/>
        <v>0</v>
      </c>
      <c r="G11" s="90">
        <f t="shared" si="12"/>
        <v>0</v>
      </c>
      <c r="H11" s="90">
        <f t="shared" si="12"/>
        <v>0</v>
      </c>
      <c r="I11" s="90">
        <f t="shared" si="12"/>
        <v>0</v>
      </c>
      <c r="J11" s="90">
        <f t="shared" si="12"/>
        <v>0</v>
      </c>
      <c r="K11" s="90">
        <f t="shared" si="12"/>
        <v>0</v>
      </c>
      <c r="L11" s="90">
        <f t="shared" si="12"/>
        <v>0</v>
      </c>
      <c r="M11" s="90">
        <f t="shared" si="12"/>
        <v>0</v>
      </c>
      <c r="N11" s="90">
        <f t="shared" si="12"/>
        <v>0</v>
      </c>
      <c r="O11" s="90">
        <f t="shared" si="12"/>
        <v>0</v>
      </c>
      <c r="P11" s="90">
        <f t="shared" si="12"/>
        <v>0</v>
      </c>
      <c r="Q11" s="90">
        <f t="shared" si="12"/>
        <v>0</v>
      </c>
      <c r="R11" s="90">
        <f t="shared" si="12"/>
        <v>0</v>
      </c>
      <c r="S11" s="90">
        <f t="shared" si="12"/>
        <v>0</v>
      </c>
      <c r="T11" s="90">
        <f t="shared" si="12"/>
        <v>0</v>
      </c>
      <c r="U11" s="90">
        <f t="shared" si="12"/>
        <v>0</v>
      </c>
      <c r="V11" s="90">
        <f t="shared" si="12"/>
        <v>0</v>
      </c>
      <c r="W11" s="90">
        <f t="shared" ref="W11:Z11" si="13">W107</f>
        <v>0</v>
      </c>
      <c r="X11" s="90">
        <f t="shared" si="13"/>
        <v>0</v>
      </c>
      <c r="Y11" s="90">
        <f t="shared" si="13"/>
        <v>0</v>
      </c>
      <c r="Z11" s="90">
        <f t="shared" si="13"/>
        <v>0</v>
      </c>
      <c r="AA11" s="90">
        <v>0</v>
      </c>
      <c r="AB11" s="90">
        <v>0</v>
      </c>
      <c r="AC11" s="90">
        <v>0</v>
      </c>
      <c r="AD11" s="90">
        <v>0</v>
      </c>
      <c r="AE11" s="90">
        <v>0</v>
      </c>
      <c r="AF11" s="90">
        <v>0</v>
      </c>
      <c r="AG11" s="90">
        <v>0</v>
      </c>
      <c r="AH11" s="90">
        <v>0</v>
      </c>
      <c r="AI11" s="90">
        <v>0</v>
      </c>
      <c r="AJ11" s="90">
        <v>0</v>
      </c>
      <c r="AK11" s="90">
        <v>0</v>
      </c>
      <c r="AL11" s="90">
        <v>0</v>
      </c>
      <c r="AM11" s="90">
        <v>0</v>
      </c>
      <c r="AN11" s="90">
        <v>0</v>
      </c>
      <c r="AO11" s="90">
        <v>0</v>
      </c>
      <c r="AP11" s="90">
        <v>0</v>
      </c>
    </row>
    <row r="12" spans="1:42" ht="15" thickBot="1">
      <c r="A12" s="74" t="s">
        <v>519</v>
      </c>
      <c r="B12" s="75"/>
      <c r="C12" s="395">
        <f>SUM(C3:F11)</f>
        <v>3604000</v>
      </c>
      <c r="D12" s="396"/>
      <c r="E12" s="396"/>
      <c r="F12" s="396"/>
      <c r="G12" s="395">
        <f>SUM(G3:J11)</f>
        <v>828234820</v>
      </c>
      <c r="H12" s="396"/>
      <c r="I12" s="396"/>
      <c r="J12" s="396"/>
      <c r="K12" s="395">
        <f>SUM(K3:N11)</f>
        <v>724364527.9000001</v>
      </c>
      <c r="L12" s="396"/>
      <c r="M12" s="396"/>
      <c r="N12" s="396"/>
      <c r="O12" s="395">
        <f>SUM(O3:R11)</f>
        <v>642308961.15549994</v>
      </c>
      <c r="P12" s="396"/>
      <c r="Q12" s="396"/>
      <c r="R12" s="396"/>
      <c r="S12" s="395">
        <f>SUM(S3:V11)</f>
        <v>577754024.84389734</v>
      </c>
      <c r="T12" s="396"/>
      <c r="U12" s="396"/>
      <c r="V12" s="396"/>
      <c r="W12" s="395">
        <f>SUM(W3:Z11)</f>
        <v>567249378.12911296</v>
      </c>
      <c r="X12" s="396"/>
      <c r="Y12" s="396"/>
      <c r="Z12" s="396"/>
      <c r="AA12" s="395"/>
      <c r="AB12" s="396"/>
      <c r="AC12" s="396"/>
      <c r="AD12" s="396"/>
      <c r="AE12" s="395"/>
      <c r="AF12" s="396"/>
      <c r="AG12" s="396"/>
      <c r="AH12" s="396"/>
      <c r="AI12" s="395"/>
      <c r="AJ12" s="396"/>
      <c r="AK12" s="396"/>
      <c r="AL12" s="396"/>
      <c r="AM12" s="395"/>
      <c r="AN12" s="396"/>
      <c r="AO12" s="396"/>
      <c r="AP12" s="396"/>
    </row>
    <row r="13" spans="1:42">
      <c r="A13" s="73" t="s">
        <v>520</v>
      </c>
      <c r="B13" s="73"/>
      <c r="C13" s="76"/>
      <c r="D13" s="76"/>
      <c r="E13" s="76"/>
      <c r="F13" s="102"/>
      <c r="G13" s="76"/>
      <c r="H13" s="76"/>
      <c r="I13" s="76"/>
      <c r="J13" s="77">
        <f>(G12/C12)-1</f>
        <v>228.8098834628191</v>
      </c>
      <c r="K13" s="76"/>
      <c r="L13" s="76"/>
      <c r="M13" s="76"/>
      <c r="N13" s="77">
        <f>(K12/G12)-1</f>
        <v>-0.1254116460595075</v>
      </c>
      <c r="O13" s="76"/>
      <c r="P13" s="76"/>
      <c r="Q13" s="76"/>
      <c r="R13" s="77">
        <f>(O12/K12)-1</f>
        <v>-0.1132793829405021</v>
      </c>
      <c r="S13" s="76"/>
      <c r="T13" s="76"/>
      <c r="U13" s="76"/>
      <c r="V13" s="77">
        <f>(S12/O12)-1</f>
        <v>-0.10050449272180428</v>
      </c>
      <c r="W13" s="76"/>
      <c r="X13" s="76"/>
      <c r="Y13" s="76"/>
      <c r="Z13" s="77">
        <f>(W12/S12)-1</f>
        <v>-1.8181866785995315E-2</v>
      </c>
      <c r="AA13" s="76"/>
      <c r="AB13" s="76"/>
      <c r="AC13" s="76"/>
      <c r="AD13" s="77"/>
      <c r="AE13" s="76"/>
      <c r="AF13" s="76"/>
      <c r="AG13" s="76"/>
      <c r="AH13" s="77"/>
      <c r="AI13" s="76"/>
      <c r="AJ13" s="76"/>
      <c r="AK13" s="76"/>
      <c r="AL13" s="77"/>
      <c r="AM13" s="76"/>
      <c r="AN13" s="76"/>
      <c r="AO13" s="76"/>
      <c r="AP13" s="77"/>
    </row>
    <row r="15" spans="1:42">
      <c r="A15" s="23" t="s">
        <v>521</v>
      </c>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row>
    <row r="16" spans="1:42" ht="15">
      <c r="A16" s="48" t="s">
        <v>522</v>
      </c>
      <c r="B16" s="49">
        <f>SUM(B17:B19)</f>
        <v>541875</v>
      </c>
    </row>
    <row r="17" spans="1:42">
      <c r="A17" s="44" t="s">
        <v>523</v>
      </c>
      <c r="B17" s="47">
        <f>staff!D18+staff!D14+staff!D15+staff!D16</f>
        <v>209375</v>
      </c>
    </row>
    <row r="18" spans="1:42">
      <c r="A18" s="44" t="s">
        <v>524</v>
      </c>
      <c r="B18" s="47">
        <f>staff!D17</f>
        <v>312500</v>
      </c>
    </row>
    <row r="19" spans="1:42">
      <c r="A19" s="44" t="s">
        <v>525</v>
      </c>
      <c r="B19" s="47">
        <v>20000</v>
      </c>
    </row>
    <row r="20" spans="1:42">
      <c r="R20" s="94"/>
    </row>
    <row r="21" spans="1:42" ht="15">
      <c r="A21" s="98" t="s">
        <v>534</v>
      </c>
      <c r="B21" s="99">
        <v>4.4999999999999998E-2</v>
      </c>
    </row>
    <row r="22" spans="1:42">
      <c r="B22" s="47"/>
    </row>
    <row r="23" spans="1:42">
      <c r="C23" s="382">
        <v>2026</v>
      </c>
      <c r="D23" s="383"/>
      <c r="E23" s="383"/>
      <c r="F23" s="384"/>
      <c r="G23" s="382">
        <v>2027</v>
      </c>
      <c r="H23" s="383"/>
      <c r="I23" s="383"/>
      <c r="J23" s="384"/>
      <c r="K23" s="382">
        <v>2028</v>
      </c>
      <c r="L23" s="383"/>
      <c r="M23" s="383"/>
      <c r="N23" s="384"/>
      <c r="O23" s="382">
        <v>2029</v>
      </c>
      <c r="P23" s="383"/>
      <c r="Q23" s="383"/>
      <c r="R23" s="384"/>
      <c r="S23" s="382">
        <v>2030</v>
      </c>
      <c r="T23" s="383"/>
      <c r="U23" s="383"/>
      <c r="V23" s="384"/>
      <c r="W23" s="382">
        <v>2030</v>
      </c>
      <c r="X23" s="383"/>
      <c r="Y23" s="383"/>
      <c r="Z23" s="384"/>
      <c r="AA23" s="382"/>
      <c r="AB23" s="383"/>
      <c r="AC23" s="383"/>
      <c r="AD23" s="384"/>
      <c r="AE23" s="382"/>
      <c r="AF23" s="383"/>
      <c r="AG23" s="383"/>
      <c r="AH23" s="384"/>
      <c r="AI23" s="382"/>
      <c r="AJ23" s="383"/>
      <c r="AK23" s="383"/>
      <c r="AL23" s="384"/>
      <c r="AM23" s="382"/>
      <c r="AN23" s="383"/>
      <c r="AO23" s="383"/>
      <c r="AP23" s="384"/>
    </row>
    <row r="24" spans="1:42">
      <c r="C24" s="25" t="s">
        <v>497</v>
      </c>
      <c r="D24" s="25" t="s">
        <v>498</v>
      </c>
      <c r="E24" s="25" t="s">
        <v>499</v>
      </c>
      <c r="F24" s="25" t="s">
        <v>500</v>
      </c>
      <c r="G24" s="25" t="s">
        <v>497</v>
      </c>
      <c r="H24" s="25" t="s">
        <v>498</v>
      </c>
      <c r="I24" s="25" t="s">
        <v>499</v>
      </c>
      <c r="J24" s="25" t="s">
        <v>500</v>
      </c>
      <c r="K24" s="25" t="s">
        <v>497</v>
      </c>
      <c r="L24" s="25" t="s">
        <v>498</v>
      </c>
      <c r="M24" s="25" t="s">
        <v>499</v>
      </c>
      <c r="N24" s="25" t="s">
        <v>500</v>
      </c>
      <c r="O24" s="25" t="s">
        <v>497</v>
      </c>
      <c r="P24" s="25" t="s">
        <v>498</v>
      </c>
      <c r="Q24" s="25" t="s">
        <v>499</v>
      </c>
      <c r="R24" s="25" t="s">
        <v>500</v>
      </c>
      <c r="S24" s="25" t="s">
        <v>497</v>
      </c>
      <c r="T24" s="25" t="s">
        <v>498</v>
      </c>
      <c r="U24" s="25" t="s">
        <v>499</v>
      </c>
      <c r="V24" s="25" t="s">
        <v>500</v>
      </c>
      <c r="W24" s="25" t="s">
        <v>497</v>
      </c>
      <c r="X24" s="25" t="s">
        <v>498</v>
      </c>
      <c r="Y24" s="25" t="s">
        <v>499</v>
      </c>
      <c r="Z24" s="25" t="s">
        <v>500</v>
      </c>
      <c r="AA24" s="25"/>
      <c r="AB24" s="25"/>
      <c r="AC24" s="25"/>
      <c r="AD24" s="25"/>
      <c r="AE24" s="25"/>
      <c r="AF24" s="25"/>
      <c r="AG24" s="25"/>
      <c r="AH24" s="25"/>
      <c r="AI24" s="25"/>
      <c r="AJ24" s="25"/>
      <c r="AK24" s="25"/>
      <c r="AL24" s="25"/>
      <c r="AM24" s="25"/>
      <c r="AN24" s="25"/>
      <c r="AO24" s="25"/>
      <c r="AP24" s="25"/>
    </row>
    <row r="25" spans="1:42" ht="14.25" customHeight="1" thickBot="1">
      <c r="A25" s="397" t="s">
        <v>522</v>
      </c>
      <c r="B25" s="412"/>
      <c r="C25" s="18"/>
      <c r="D25" s="20"/>
      <c r="E25" s="20"/>
      <c r="F25" s="22"/>
      <c r="G25" s="18">
        <f>$B$16*3</f>
        <v>1625625</v>
      </c>
      <c r="H25" s="20">
        <f t="shared" ref="H25:J25" si="14">$B$16*3</f>
        <v>1625625</v>
      </c>
      <c r="I25" s="20">
        <f t="shared" si="14"/>
        <v>1625625</v>
      </c>
      <c r="J25" s="22">
        <f t="shared" si="14"/>
        <v>1625625</v>
      </c>
      <c r="K25" s="18">
        <f>J25*(1+$B$21)</f>
        <v>1698778.125</v>
      </c>
      <c r="L25" s="20">
        <f>K25</f>
        <v>1698778.125</v>
      </c>
      <c r="M25" s="20">
        <f t="shared" ref="M25" si="15">L25</f>
        <v>1698778.125</v>
      </c>
      <c r="N25" s="20">
        <f t="shared" ref="N25" si="16">M25</f>
        <v>1698778.125</v>
      </c>
      <c r="O25" s="18">
        <f>N25*(1+$B$21)</f>
        <v>1775223.1406249998</v>
      </c>
      <c r="P25" s="20">
        <f>O25</f>
        <v>1775223.1406249998</v>
      </c>
      <c r="Q25" s="20">
        <f t="shared" ref="Q25" si="17">P25</f>
        <v>1775223.1406249998</v>
      </c>
      <c r="R25" s="22">
        <f t="shared" ref="R25" si="18">Q25</f>
        <v>1775223.1406249998</v>
      </c>
      <c r="S25" s="20">
        <f>R25*(1+$B$21)</f>
        <v>1855108.1819531247</v>
      </c>
      <c r="T25" s="20">
        <f>S25</f>
        <v>1855108.1819531247</v>
      </c>
      <c r="U25" s="20">
        <f t="shared" ref="U25" si="19">T25</f>
        <v>1855108.1819531247</v>
      </c>
      <c r="V25" s="22">
        <f t="shared" ref="V25" si="20">U25</f>
        <v>1855108.1819531247</v>
      </c>
      <c r="W25" s="18">
        <f>V25*(1+$B$21)</f>
        <v>1938588.0501410151</v>
      </c>
      <c r="X25" s="20">
        <f>W25</f>
        <v>1938588.0501410151</v>
      </c>
      <c r="Y25" s="20">
        <f t="shared" ref="Y25" si="21">X25</f>
        <v>1938588.0501410151</v>
      </c>
      <c r="Z25" s="22">
        <f t="shared" ref="Z25" si="22">Y25</f>
        <v>1938588.0501410151</v>
      </c>
      <c r="AA25" s="18"/>
      <c r="AB25" s="20"/>
      <c r="AC25" s="20"/>
      <c r="AD25" s="22"/>
      <c r="AE25" s="18"/>
      <c r="AF25" s="20"/>
      <c r="AG25" s="20"/>
      <c r="AH25" s="22"/>
      <c r="AI25" s="18"/>
      <c r="AJ25" s="20"/>
      <c r="AK25" s="20"/>
      <c r="AL25" s="22"/>
      <c r="AM25" s="18"/>
      <c r="AN25" s="20"/>
      <c r="AO25" s="20"/>
      <c r="AP25" s="22"/>
    </row>
    <row r="26" spans="1:42" ht="15" thickBot="1">
      <c r="A26" s="405" t="s">
        <v>526</v>
      </c>
      <c r="B26" s="385" t="s">
        <v>526</v>
      </c>
      <c r="F26" s="42"/>
      <c r="J26" s="42">
        <f>SUM(G25:J25)</f>
        <v>6502500</v>
      </c>
      <c r="N26" s="63">
        <f>SUM(K25:N25)</f>
        <v>6795112.5</v>
      </c>
      <c r="R26" s="42">
        <f>SUM(O25:R25)</f>
        <v>7100892.5624999991</v>
      </c>
      <c r="V26" s="63">
        <f>SUM(S25:V25)</f>
        <v>7420432.7278124988</v>
      </c>
      <c r="Z26" s="63">
        <f>SUM(W25:Z25)</f>
        <v>7754352.2005640604</v>
      </c>
      <c r="AA26">
        <f>W26*(1+Assumptions!$B$32)</f>
        <v>0</v>
      </c>
      <c r="AB26">
        <f>X26*(1+Assumptions!$B$32)</f>
        <v>0</v>
      </c>
      <c r="AC26">
        <f>Y26*(1+Assumptions!$B$32)</f>
        <v>0</v>
      </c>
      <c r="AD26" s="63">
        <f>Z26*(1+Assumptions!$B$32)</f>
        <v>7986982.7665809821</v>
      </c>
      <c r="AE26">
        <f>AA26*(1+Assumptions!$B$32)</f>
        <v>0</v>
      </c>
      <c r="AF26">
        <f>AB26*(1+Assumptions!$B$32)</f>
        <v>0</v>
      </c>
      <c r="AG26">
        <f>AC26*(1+Assumptions!$B$32)</f>
        <v>0</v>
      </c>
      <c r="AH26" s="63">
        <f>AD26*(1+Assumptions!$B$32)</f>
        <v>8226592.2495784117</v>
      </c>
      <c r="AI26">
        <f>AE26*(1+Assumptions!$B$32)</f>
        <v>0</v>
      </c>
      <c r="AJ26">
        <f>AF26*(1+Assumptions!$B$32)</f>
        <v>0</v>
      </c>
      <c r="AK26">
        <f>AG26*(1+Assumptions!$B$32)</f>
        <v>0</v>
      </c>
      <c r="AL26" s="63">
        <f>AH26*(1+Assumptions!$B$32)</f>
        <v>8473390.0170657635</v>
      </c>
      <c r="AM26">
        <f>AI26*(1+Assumptions!$B$32)</f>
        <v>0</v>
      </c>
      <c r="AN26">
        <f>AJ26*(1+Assumptions!$B$32)</f>
        <v>0</v>
      </c>
      <c r="AO26">
        <f>AK26*(1+Assumptions!$B$32)</f>
        <v>0</v>
      </c>
      <c r="AP26" s="63">
        <f>AL26*(1+Assumptions!$B$32)</f>
        <v>8727591.7175777368</v>
      </c>
    </row>
    <row r="27" spans="1:42">
      <c r="A27" s="95"/>
      <c r="N27" s="96">
        <f>N26/J26-1</f>
        <v>4.4999999999999929E-2</v>
      </c>
      <c r="R27" s="96">
        <f>R26/N26-1</f>
        <v>4.4999999999999929E-2</v>
      </c>
      <c r="V27" s="96">
        <f>V26/R26-1</f>
        <v>4.4999999999999929E-2</v>
      </c>
      <c r="Z27" s="96">
        <f>Z26/V26-1</f>
        <v>4.4999999999999929E-2</v>
      </c>
      <c r="AD27" s="96"/>
      <c r="AH27" s="96"/>
      <c r="AL27" s="96"/>
      <c r="AP27" s="96"/>
    </row>
    <row r="28" spans="1:42">
      <c r="A28" s="23" t="s">
        <v>527</v>
      </c>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row>
    <row r="29" spans="1:42" ht="15">
      <c r="A29" s="113" t="s">
        <v>522</v>
      </c>
      <c r="B29" s="114">
        <v>0</v>
      </c>
    </row>
    <row r="30" spans="1:42" ht="15">
      <c r="A30" s="37"/>
      <c r="B30" s="40"/>
    </row>
    <row r="31" spans="1:42" ht="15">
      <c r="A31" s="37"/>
      <c r="B31" s="40"/>
    </row>
    <row r="32" spans="1:42" ht="15">
      <c r="A32" s="37"/>
      <c r="B32" s="40"/>
    </row>
    <row r="33" spans="1:42" ht="15">
      <c r="A33" s="37"/>
      <c r="B33" s="40"/>
    </row>
    <row r="34" spans="1:42" ht="15">
      <c r="A34" s="37"/>
      <c r="B34" s="40"/>
    </row>
    <row r="35" spans="1:42">
      <c r="A35" s="8"/>
      <c r="B35" s="8">
        <v>0</v>
      </c>
    </row>
    <row r="36" spans="1:42" ht="15">
      <c r="A36" s="37"/>
    </row>
    <row r="37" spans="1:42">
      <c r="C37" s="382">
        <v>2026</v>
      </c>
      <c r="D37" s="383"/>
      <c r="E37" s="383"/>
      <c r="F37" s="384"/>
      <c r="G37" s="382">
        <v>2027</v>
      </c>
      <c r="H37" s="383"/>
      <c r="I37" s="383"/>
      <c r="J37" s="384"/>
      <c r="K37" s="382">
        <v>2028</v>
      </c>
      <c r="L37" s="383"/>
      <c r="M37" s="383"/>
      <c r="N37" s="384"/>
      <c r="O37" s="382">
        <v>2029</v>
      </c>
      <c r="P37" s="383"/>
      <c r="Q37" s="383"/>
      <c r="R37" s="384"/>
      <c r="S37" s="382">
        <v>2030</v>
      </c>
      <c r="T37" s="383"/>
      <c r="U37" s="383"/>
      <c r="V37" s="384"/>
      <c r="W37" s="382">
        <v>2030</v>
      </c>
      <c r="X37" s="383"/>
      <c r="Y37" s="383"/>
      <c r="Z37" s="384"/>
      <c r="AA37" s="382"/>
      <c r="AB37" s="383"/>
      <c r="AC37" s="383"/>
      <c r="AD37" s="384"/>
      <c r="AE37" s="382"/>
      <c r="AF37" s="383"/>
      <c r="AG37" s="383"/>
      <c r="AH37" s="384"/>
      <c r="AI37" s="382"/>
      <c r="AJ37" s="383"/>
      <c r="AK37" s="383"/>
      <c r="AL37" s="384"/>
      <c r="AM37" s="382"/>
      <c r="AN37" s="383"/>
      <c r="AO37" s="383"/>
      <c r="AP37" s="384"/>
    </row>
    <row r="38" spans="1:42">
      <c r="C38" s="25" t="s">
        <v>497</v>
      </c>
      <c r="D38" s="25" t="s">
        <v>498</v>
      </c>
      <c r="E38" s="25" t="s">
        <v>499</v>
      </c>
      <c r="F38" s="25" t="s">
        <v>500</v>
      </c>
      <c r="G38" s="25" t="s">
        <v>497</v>
      </c>
      <c r="H38" s="25" t="s">
        <v>498</v>
      </c>
      <c r="I38" s="25" t="s">
        <v>499</v>
      </c>
      <c r="J38" s="25" t="s">
        <v>500</v>
      </c>
      <c r="K38" s="25" t="s">
        <v>497</v>
      </c>
      <c r="L38" s="25" t="s">
        <v>498</v>
      </c>
      <c r="M38" s="25" t="s">
        <v>499</v>
      </c>
      <c r="N38" s="25" t="s">
        <v>500</v>
      </c>
      <c r="O38" s="25" t="s">
        <v>497</v>
      </c>
      <c r="P38" s="25" t="s">
        <v>498</v>
      </c>
      <c r="Q38" s="25" t="s">
        <v>499</v>
      </c>
      <c r="R38" s="25" t="s">
        <v>500</v>
      </c>
      <c r="S38" s="25" t="s">
        <v>497</v>
      </c>
      <c r="T38" s="25" t="s">
        <v>498</v>
      </c>
      <c r="U38" s="25" t="s">
        <v>499</v>
      </c>
      <c r="V38" s="25" t="s">
        <v>500</v>
      </c>
      <c r="W38" s="25" t="s">
        <v>497</v>
      </c>
      <c r="X38" s="25" t="s">
        <v>498</v>
      </c>
      <c r="Y38" s="25" t="s">
        <v>499</v>
      </c>
      <c r="Z38" s="25" t="s">
        <v>500</v>
      </c>
      <c r="AA38" s="25"/>
      <c r="AB38" s="25"/>
      <c r="AC38" s="25"/>
      <c r="AD38" s="25"/>
      <c r="AE38" s="25"/>
      <c r="AF38" s="25"/>
      <c r="AG38" s="25"/>
      <c r="AH38" s="25"/>
      <c r="AI38" s="25"/>
      <c r="AJ38" s="25"/>
      <c r="AK38" s="25"/>
      <c r="AL38" s="25"/>
      <c r="AM38" s="25"/>
      <c r="AN38" s="25"/>
      <c r="AO38" s="25"/>
      <c r="AP38" s="25"/>
    </row>
    <row r="39" spans="1:42" ht="15">
      <c r="A39" s="397" t="s">
        <v>522</v>
      </c>
      <c r="B39" s="412"/>
      <c r="C39" s="18">
        <f>$B$29*3</f>
        <v>0</v>
      </c>
      <c r="D39" s="20">
        <f t="shared" ref="D39:Z39" si="23">$B$29*3</f>
        <v>0</v>
      </c>
      <c r="E39" s="20">
        <f t="shared" si="23"/>
        <v>0</v>
      </c>
      <c r="F39" s="22">
        <f t="shared" si="23"/>
        <v>0</v>
      </c>
      <c r="G39" s="18">
        <f>$B$29*3</f>
        <v>0</v>
      </c>
      <c r="H39" s="20">
        <f t="shared" si="23"/>
        <v>0</v>
      </c>
      <c r="I39" s="20">
        <f t="shared" si="23"/>
        <v>0</v>
      </c>
      <c r="J39" s="22">
        <f t="shared" si="23"/>
        <v>0</v>
      </c>
      <c r="K39" s="18">
        <f t="shared" si="23"/>
        <v>0</v>
      </c>
      <c r="L39" s="20">
        <f t="shared" si="23"/>
        <v>0</v>
      </c>
      <c r="M39" s="20">
        <f t="shared" si="23"/>
        <v>0</v>
      </c>
      <c r="N39" s="22">
        <f t="shared" si="23"/>
        <v>0</v>
      </c>
      <c r="O39" s="18">
        <f t="shared" si="23"/>
        <v>0</v>
      </c>
      <c r="P39" s="20">
        <f t="shared" si="23"/>
        <v>0</v>
      </c>
      <c r="Q39" s="20">
        <f t="shared" si="23"/>
        <v>0</v>
      </c>
      <c r="R39" s="22">
        <f t="shared" si="23"/>
        <v>0</v>
      </c>
      <c r="S39" s="18">
        <f t="shared" si="23"/>
        <v>0</v>
      </c>
      <c r="T39" s="20">
        <f t="shared" si="23"/>
        <v>0</v>
      </c>
      <c r="U39" s="20">
        <f t="shared" si="23"/>
        <v>0</v>
      </c>
      <c r="V39" s="22">
        <f t="shared" si="23"/>
        <v>0</v>
      </c>
      <c r="W39" s="18">
        <f t="shared" si="23"/>
        <v>0</v>
      </c>
      <c r="X39" s="20">
        <f t="shared" si="23"/>
        <v>0</v>
      </c>
      <c r="Y39" s="20">
        <f t="shared" si="23"/>
        <v>0</v>
      </c>
      <c r="Z39" s="22">
        <f t="shared" si="23"/>
        <v>0</v>
      </c>
      <c r="AA39" s="18"/>
      <c r="AB39" s="20"/>
      <c r="AC39" s="20"/>
      <c r="AD39" s="22"/>
      <c r="AE39" s="18"/>
      <c r="AF39" s="20"/>
      <c r="AG39" s="20"/>
      <c r="AH39" s="22"/>
      <c r="AI39" s="18"/>
      <c r="AJ39" s="20"/>
      <c r="AK39" s="20"/>
      <c r="AL39" s="22"/>
      <c r="AM39" s="18"/>
      <c r="AN39" s="20"/>
      <c r="AO39" s="20"/>
      <c r="AP39" s="22"/>
    </row>
    <row r="40" spans="1:42" ht="15" thickBot="1">
      <c r="A40" s="405" t="s">
        <v>526</v>
      </c>
      <c r="B40" s="385"/>
      <c r="F40" s="42">
        <f>SUM(C39:F39)</f>
        <v>0</v>
      </c>
      <c r="J40" s="42">
        <f>SUM(G39:J39)</f>
        <v>0</v>
      </c>
      <c r="N40" s="42">
        <f>SUM(K39:N39)</f>
        <v>0</v>
      </c>
      <c r="R40" s="42">
        <f>SUM(O39:R39)</f>
        <v>0</v>
      </c>
      <c r="V40" s="42">
        <f>SUM(S39:V39)</f>
        <v>0</v>
      </c>
      <c r="Z40" s="42">
        <f>SUM(W39:Z39)</f>
        <v>0</v>
      </c>
      <c r="AD40" s="42"/>
      <c r="AH40" s="42"/>
      <c r="AL40" s="42"/>
      <c r="AP40" s="42"/>
    </row>
    <row r="42" spans="1:42">
      <c r="A42" s="23" t="s">
        <v>528</v>
      </c>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row>
    <row r="43" spans="1:42" ht="15">
      <c r="A43" s="113" t="s">
        <v>522</v>
      </c>
      <c r="B43" s="118">
        <f>SUM(B44:B50)</f>
        <v>1168400</v>
      </c>
    </row>
    <row r="44" spans="1:42">
      <c r="A44" s="44" t="s">
        <v>529</v>
      </c>
      <c r="B44" s="157">
        <f>50000*1.3</f>
        <v>65000</v>
      </c>
    </row>
    <row r="46" spans="1:42">
      <c r="A46" s="44" t="s">
        <v>89</v>
      </c>
      <c r="B46" s="157">
        <f>150000*1.3</f>
        <v>195000</v>
      </c>
    </row>
    <row r="47" spans="1:42">
      <c r="A47" s="44" t="s">
        <v>531</v>
      </c>
      <c r="B47" s="157">
        <f>300000*1.3</f>
        <v>390000</v>
      </c>
    </row>
    <row r="48" spans="1:42">
      <c r="A48" s="44" t="s">
        <v>532</v>
      </c>
      <c r="B48" s="157">
        <f>8*64*200</f>
        <v>102400</v>
      </c>
    </row>
    <row r="49" spans="1:42">
      <c r="A49" s="44" t="s">
        <v>533</v>
      </c>
      <c r="B49" s="157">
        <f>250000*1.3</f>
        <v>325000</v>
      </c>
      <c r="C49" s="10"/>
    </row>
    <row r="50" spans="1:42">
      <c r="A50" s="44" t="s">
        <v>110</v>
      </c>
      <c r="B50" s="157">
        <f>70000*1.3</f>
        <v>91000</v>
      </c>
    </row>
    <row r="51" spans="1:42" ht="15">
      <c r="A51" s="98" t="s">
        <v>534</v>
      </c>
      <c r="B51" s="379">
        <f>Assumptions!B38</f>
        <v>0.03</v>
      </c>
    </row>
    <row r="52" spans="1:42">
      <c r="A52" s="44"/>
      <c r="B52" s="47"/>
    </row>
    <row r="53" spans="1:42">
      <c r="C53" s="382">
        <v>2026</v>
      </c>
      <c r="D53" s="383"/>
      <c r="E53" s="383"/>
      <c r="F53" s="384"/>
      <c r="G53" s="382">
        <v>2027</v>
      </c>
      <c r="H53" s="383"/>
      <c r="I53" s="383"/>
      <c r="J53" s="384"/>
      <c r="K53" s="382">
        <v>2028</v>
      </c>
      <c r="L53" s="383"/>
      <c r="M53" s="383"/>
      <c r="N53" s="384"/>
      <c r="O53" s="382">
        <v>2029</v>
      </c>
      <c r="P53" s="383"/>
      <c r="Q53" s="383"/>
      <c r="R53" s="384"/>
      <c r="S53" s="382">
        <v>2030</v>
      </c>
      <c r="T53" s="383"/>
      <c r="U53" s="383"/>
      <c r="V53" s="384"/>
      <c r="W53" s="382">
        <v>2030</v>
      </c>
      <c r="X53" s="383"/>
      <c r="Y53" s="383"/>
      <c r="Z53" s="384"/>
      <c r="AA53" s="382"/>
      <c r="AB53" s="383"/>
      <c r="AC53" s="383"/>
      <c r="AD53" s="384"/>
      <c r="AE53" s="382"/>
      <c r="AF53" s="383"/>
      <c r="AG53" s="383"/>
      <c r="AH53" s="384"/>
      <c r="AI53" s="382"/>
      <c r="AJ53" s="383"/>
      <c r="AK53" s="383"/>
      <c r="AL53" s="384"/>
      <c r="AM53" s="382"/>
      <c r="AN53" s="383"/>
      <c r="AO53" s="383"/>
      <c r="AP53" s="384"/>
    </row>
    <row r="54" spans="1:42">
      <c r="C54" s="25" t="s">
        <v>497</v>
      </c>
      <c r="D54" s="25" t="s">
        <v>498</v>
      </c>
      <c r="E54" s="25" t="s">
        <v>499</v>
      </c>
      <c r="F54" s="25" t="s">
        <v>500</v>
      </c>
      <c r="G54" s="25" t="s">
        <v>497</v>
      </c>
      <c r="H54" s="25" t="s">
        <v>498</v>
      </c>
      <c r="I54" s="25" t="s">
        <v>499</v>
      </c>
      <c r="J54" s="25" t="s">
        <v>500</v>
      </c>
      <c r="K54" s="25" t="s">
        <v>497</v>
      </c>
      <c r="L54" s="25" t="s">
        <v>498</v>
      </c>
      <c r="M54" s="25" t="s">
        <v>499</v>
      </c>
      <c r="N54" s="25" t="s">
        <v>500</v>
      </c>
      <c r="O54" s="25" t="s">
        <v>497</v>
      </c>
      <c r="P54" s="25" t="s">
        <v>498</v>
      </c>
      <c r="Q54" s="25" t="s">
        <v>499</v>
      </c>
      <c r="R54" s="25" t="s">
        <v>500</v>
      </c>
      <c r="S54" s="25" t="s">
        <v>497</v>
      </c>
      <c r="T54" s="25" t="s">
        <v>498</v>
      </c>
      <c r="U54" s="25" t="s">
        <v>499</v>
      </c>
      <c r="V54" s="25" t="s">
        <v>500</v>
      </c>
      <c r="W54" s="25" t="s">
        <v>497</v>
      </c>
      <c r="X54" s="25" t="s">
        <v>498</v>
      </c>
      <c r="Y54" s="25" t="s">
        <v>499</v>
      </c>
      <c r="Z54" s="25" t="s">
        <v>500</v>
      </c>
      <c r="AA54" s="25"/>
      <c r="AB54" s="25"/>
      <c r="AC54" s="25"/>
      <c r="AD54" s="25"/>
      <c r="AE54" s="25"/>
      <c r="AF54" s="25"/>
      <c r="AG54" s="25"/>
      <c r="AH54" s="25"/>
      <c r="AI54" s="25"/>
      <c r="AJ54" s="25"/>
      <c r="AK54" s="25"/>
      <c r="AL54" s="25"/>
      <c r="AM54" s="25"/>
      <c r="AN54" s="25"/>
      <c r="AO54" s="25"/>
      <c r="AP54" s="25"/>
    </row>
    <row r="55" spans="1:42" ht="15">
      <c r="A55" s="397" t="s">
        <v>522</v>
      </c>
      <c r="B55" s="412"/>
      <c r="C55" s="20">
        <f>3*(B49+B50)/2</f>
        <v>624000</v>
      </c>
      <c r="D55" s="20">
        <f>C55</f>
        <v>624000</v>
      </c>
      <c r="E55" s="20">
        <f>D55</f>
        <v>624000</v>
      </c>
      <c r="F55" s="20">
        <f>E55</f>
        <v>624000</v>
      </c>
      <c r="G55" s="20">
        <f>B43*3</f>
        <v>3505200</v>
      </c>
      <c r="H55" s="20">
        <f>G55</f>
        <v>3505200</v>
      </c>
      <c r="I55" s="20">
        <f t="shared" ref="I55" si="24">H55</f>
        <v>3505200</v>
      </c>
      <c r="J55" s="22">
        <f>I55</f>
        <v>3505200</v>
      </c>
      <c r="K55" s="20">
        <f>J55*($B$51+1)</f>
        <v>3610356</v>
      </c>
      <c r="L55" s="20">
        <f>K55</f>
        <v>3610356</v>
      </c>
      <c r="M55" s="20">
        <f t="shared" ref="M55:N55" si="25">L55</f>
        <v>3610356</v>
      </c>
      <c r="N55" s="22">
        <f t="shared" si="25"/>
        <v>3610356</v>
      </c>
      <c r="O55" s="20">
        <f>N55*($B$51+1)</f>
        <v>3718666.68</v>
      </c>
      <c r="P55" s="20">
        <f>O55</f>
        <v>3718666.68</v>
      </c>
      <c r="Q55" s="20">
        <f t="shared" ref="Q55:R55" si="26">P55</f>
        <v>3718666.68</v>
      </c>
      <c r="R55" s="22">
        <f t="shared" si="26"/>
        <v>3718666.68</v>
      </c>
      <c r="S55" s="20">
        <f>R55*($B$51+1)</f>
        <v>3830226.6804000004</v>
      </c>
      <c r="T55" s="20">
        <f>S55</f>
        <v>3830226.6804000004</v>
      </c>
      <c r="U55" s="20">
        <f t="shared" ref="U55:V55" si="27">T55</f>
        <v>3830226.6804000004</v>
      </c>
      <c r="V55" s="22">
        <f t="shared" si="27"/>
        <v>3830226.6804000004</v>
      </c>
      <c r="W55" s="20">
        <f>V55*($B$51+1)</f>
        <v>3945133.4808120006</v>
      </c>
      <c r="X55" s="20">
        <f>W55</f>
        <v>3945133.4808120006</v>
      </c>
      <c r="Y55" s="20">
        <f t="shared" ref="Y55" si="28">X55</f>
        <v>3945133.4808120006</v>
      </c>
      <c r="Z55" s="22">
        <f t="shared" ref="Z55" si="29">Y55</f>
        <v>3945133.4808120006</v>
      </c>
      <c r="AA55" s="20"/>
      <c r="AB55" s="20"/>
      <c r="AC55" s="20"/>
      <c r="AD55" s="22"/>
      <c r="AE55" s="20"/>
      <c r="AF55" s="20"/>
      <c r="AG55" s="20"/>
      <c r="AH55" s="22"/>
      <c r="AI55" s="20"/>
      <c r="AJ55" s="20"/>
      <c r="AK55" s="20"/>
      <c r="AL55" s="22"/>
      <c r="AM55" s="20"/>
      <c r="AN55" s="20"/>
      <c r="AO55" s="20"/>
      <c r="AP55" s="22"/>
    </row>
    <row r="56" spans="1:42" ht="15" thickBot="1">
      <c r="A56" s="405" t="s">
        <v>526</v>
      </c>
      <c r="B56" s="385"/>
      <c r="F56" s="42">
        <f>SUM(C55:F55)</f>
        <v>2496000</v>
      </c>
      <c r="J56" s="42">
        <f>SUM(G55:J55)</f>
        <v>14020800</v>
      </c>
      <c r="N56" s="42">
        <f>SUM(K55:N55)</f>
        <v>14441424</v>
      </c>
      <c r="R56" s="42">
        <f>SUM(O55:R55)</f>
        <v>14874666.720000001</v>
      </c>
      <c r="V56" s="42">
        <f>SUM(S55:V55)</f>
        <v>15320906.721600002</v>
      </c>
      <c r="Z56" s="42">
        <f>SUM(W55:Z55)</f>
        <v>15780533.923248002</v>
      </c>
      <c r="AD56" s="42"/>
      <c r="AH56" s="42"/>
      <c r="AL56" s="42"/>
      <c r="AP56" s="42"/>
    </row>
    <row r="57" spans="1:42">
      <c r="A57" s="95" t="s">
        <v>535</v>
      </c>
      <c r="J57" s="96"/>
      <c r="N57" s="377">
        <f>N56/J56-1</f>
        <v>3.0000000000000027E-2</v>
      </c>
      <c r="R57" s="377">
        <f>R56/N56-1</f>
        <v>3.0000000000000027E-2</v>
      </c>
      <c r="V57" s="96">
        <f>V56/R56-1</f>
        <v>3.0000000000000027E-2</v>
      </c>
      <c r="Z57" s="96">
        <f>Z56/V56-1</f>
        <v>3.0000000000000027E-2</v>
      </c>
      <c r="AD57" s="96"/>
      <c r="AH57" s="96"/>
      <c r="AL57" s="96"/>
      <c r="AP57" s="96"/>
    </row>
    <row r="58" spans="1:42">
      <c r="A58" s="23" t="s">
        <v>536</v>
      </c>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row>
    <row r="59" spans="1:42" ht="15">
      <c r="A59" s="113" t="s">
        <v>522</v>
      </c>
      <c r="B59" s="118">
        <f>SUM(B60:B65)</f>
        <v>12337000</v>
      </c>
    </row>
    <row r="60" spans="1:42" s="147" customFormat="1">
      <c r="A60" s="146" t="s">
        <v>530</v>
      </c>
      <c r="B60" s="171">
        <f>((24*365)/12)*(130*130)</f>
        <v>12337000</v>
      </c>
      <c r="G60" s="147">
        <f>B60</f>
        <v>12337000</v>
      </c>
      <c r="H60" s="147">
        <f t="shared" ref="H60:N60" si="30">G60</f>
        <v>12337000</v>
      </c>
      <c r="I60" s="147">
        <f t="shared" si="30"/>
        <v>12337000</v>
      </c>
      <c r="J60" s="147">
        <f>I60</f>
        <v>12337000</v>
      </c>
      <c r="K60" s="147">
        <f>J60</f>
        <v>12337000</v>
      </c>
      <c r="L60" s="147">
        <f>K60</f>
        <v>12337000</v>
      </c>
      <c r="M60" s="147">
        <f t="shared" si="30"/>
        <v>12337000</v>
      </c>
      <c r="N60" s="147">
        <f t="shared" si="30"/>
        <v>12337000</v>
      </c>
      <c r="O60" s="147">
        <f>N60*(1+$N$57)</f>
        <v>12707110</v>
      </c>
      <c r="P60" s="147">
        <f>O60</f>
        <v>12707110</v>
      </c>
      <c r="Q60" s="147">
        <f>P60</f>
        <v>12707110</v>
      </c>
      <c r="R60" s="147">
        <f>Q60</f>
        <v>12707110</v>
      </c>
      <c r="S60" s="147">
        <f>R60*(1+$R$57)</f>
        <v>13088323.300000001</v>
      </c>
      <c r="T60" s="147">
        <f>S60</f>
        <v>13088323.300000001</v>
      </c>
      <c r="U60" s="147">
        <f>T60</f>
        <v>13088323.300000001</v>
      </c>
      <c r="V60" s="147">
        <f>U60</f>
        <v>13088323.300000001</v>
      </c>
      <c r="W60" s="147">
        <f>V60*(1+$V$57)</f>
        <v>13480972.999000002</v>
      </c>
      <c r="X60" s="147">
        <f>W60</f>
        <v>13480972.999000002</v>
      </c>
      <c r="Y60" s="147">
        <f>X60</f>
        <v>13480972.999000002</v>
      </c>
      <c r="Z60" s="147">
        <f>Y60</f>
        <v>13480972.999000002</v>
      </c>
    </row>
    <row r="61" spans="1:42" ht="15">
      <c r="A61" s="37"/>
      <c r="B61" s="40"/>
      <c r="J61" s="148">
        <f>G60*12</f>
        <v>148044000</v>
      </c>
      <c r="N61" s="148">
        <f>K60*12</f>
        <v>148044000</v>
      </c>
      <c r="R61" s="148">
        <f>O60*12</f>
        <v>152485320</v>
      </c>
      <c r="V61" s="148">
        <f>S60*12</f>
        <v>157059879.60000002</v>
      </c>
      <c r="Z61" s="148">
        <f>W60*12</f>
        <v>161771675.98800004</v>
      </c>
      <c r="AD61" s="148"/>
      <c r="AH61" s="148"/>
      <c r="AL61" s="148"/>
      <c r="AP61" s="148"/>
    </row>
    <row r="62" spans="1:42" ht="15">
      <c r="A62" s="37"/>
      <c r="B62" s="40"/>
    </row>
    <row r="63" spans="1:42" ht="15">
      <c r="A63" s="37"/>
      <c r="B63" s="40"/>
    </row>
    <row r="64" spans="1:42" ht="15">
      <c r="A64" s="37"/>
      <c r="B64" s="40"/>
    </row>
    <row r="65" spans="1:42" ht="15">
      <c r="A65" s="37"/>
      <c r="B65" s="12"/>
    </row>
    <row r="66" spans="1:42">
      <c r="A66" s="8"/>
      <c r="B66" s="8"/>
    </row>
    <row r="67" spans="1:42" ht="15">
      <c r="A67" s="98" t="s">
        <v>537</v>
      </c>
      <c r="B67" s="379">
        <f>Assumptions!B32</f>
        <v>0.03</v>
      </c>
    </row>
    <row r="68" spans="1:42">
      <c r="C68" s="382">
        <v>2026</v>
      </c>
      <c r="D68" s="383"/>
      <c r="E68" s="383"/>
      <c r="F68" s="384"/>
      <c r="G68" s="382">
        <v>2027</v>
      </c>
      <c r="H68" s="383"/>
      <c r="I68" s="383"/>
      <c r="J68" s="384"/>
      <c r="K68" s="382">
        <v>2028</v>
      </c>
      <c r="L68" s="383"/>
      <c r="M68" s="383"/>
      <c r="N68" s="384"/>
      <c r="O68" s="382">
        <v>2029</v>
      </c>
      <c r="P68" s="383"/>
      <c r="Q68" s="383"/>
      <c r="R68" s="384"/>
      <c r="S68" s="382">
        <v>2030</v>
      </c>
      <c r="T68" s="383"/>
      <c r="U68" s="383"/>
      <c r="V68" s="384"/>
      <c r="W68" s="382">
        <v>2030</v>
      </c>
      <c r="X68" s="383"/>
      <c r="Y68" s="383"/>
      <c r="Z68" s="384"/>
      <c r="AA68" s="382"/>
      <c r="AB68" s="383"/>
      <c r="AC68" s="383"/>
      <c r="AD68" s="384"/>
      <c r="AE68" s="382"/>
      <c r="AF68" s="383"/>
      <c r="AG68" s="383"/>
      <c r="AH68" s="384"/>
      <c r="AI68" s="382"/>
      <c r="AJ68" s="383"/>
      <c r="AK68" s="383"/>
      <c r="AL68" s="384"/>
      <c r="AM68" s="382"/>
      <c r="AN68" s="383"/>
      <c r="AO68" s="383"/>
      <c r="AP68" s="384"/>
    </row>
    <row r="69" spans="1:42">
      <c r="C69" s="25" t="s">
        <v>497</v>
      </c>
      <c r="D69" s="25" t="s">
        <v>498</v>
      </c>
      <c r="E69" s="25" t="s">
        <v>499</v>
      </c>
      <c r="F69" s="25" t="s">
        <v>500</v>
      </c>
      <c r="G69" s="25" t="s">
        <v>497</v>
      </c>
      <c r="H69" s="25" t="s">
        <v>498</v>
      </c>
      <c r="I69" s="25" t="s">
        <v>499</v>
      </c>
      <c r="J69" s="25" t="s">
        <v>500</v>
      </c>
      <c r="K69" s="25" t="s">
        <v>497</v>
      </c>
      <c r="L69" s="25" t="s">
        <v>498</v>
      </c>
      <c r="M69" s="25" t="s">
        <v>499</v>
      </c>
      <c r="N69" s="25" t="s">
        <v>500</v>
      </c>
      <c r="O69" s="25" t="s">
        <v>497</v>
      </c>
      <c r="P69" s="25" t="s">
        <v>498</v>
      </c>
      <c r="Q69" s="25" t="s">
        <v>499</v>
      </c>
      <c r="R69" s="25" t="s">
        <v>500</v>
      </c>
      <c r="S69" s="25" t="s">
        <v>497</v>
      </c>
      <c r="T69" s="25" t="s">
        <v>498</v>
      </c>
      <c r="U69" s="25" t="s">
        <v>499</v>
      </c>
      <c r="V69" s="25" t="s">
        <v>500</v>
      </c>
      <c r="W69" s="25" t="s">
        <v>497</v>
      </c>
      <c r="X69" s="25" t="s">
        <v>498</v>
      </c>
      <c r="Y69" s="25" t="s">
        <v>499</v>
      </c>
      <c r="Z69" s="25" t="s">
        <v>500</v>
      </c>
      <c r="AA69" s="25"/>
      <c r="AB69" s="25"/>
      <c r="AC69" s="25"/>
      <c r="AD69" s="25"/>
      <c r="AE69" s="25"/>
      <c r="AF69" s="25"/>
      <c r="AG69" s="25"/>
      <c r="AH69" s="25"/>
      <c r="AI69" s="25"/>
      <c r="AJ69" s="25"/>
      <c r="AK69" s="25"/>
      <c r="AL69" s="25"/>
      <c r="AM69" s="25"/>
      <c r="AN69" s="25"/>
      <c r="AO69" s="25"/>
      <c r="AP69" s="25"/>
    </row>
    <row r="70" spans="1:42" ht="15">
      <c r="A70" s="397" t="s">
        <v>522</v>
      </c>
      <c r="B70" s="412"/>
      <c r="C70" s="20"/>
      <c r="D70" s="20"/>
      <c r="E70" s="20"/>
      <c r="F70" s="22"/>
      <c r="G70" s="20">
        <f>$B59*3</f>
        <v>37011000</v>
      </c>
      <c r="H70" s="20">
        <f>G70</f>
        <v>37011000</v>
      </c>
      <c r="I70" s="20">
        <f t="shared" ref="I70" si="31">H70</f>
        <v>37011000</v>
      </c>
      <c r="J70" s="22">
        <f>I70</f>
        <v>37011000</v>
      </c>
      <c r="K70" s="20">
        <f>J70*($B$67+1)</f>
        <v>38121330</v>
      </c>
      <c r="L70" s="20">
        <f>K70</f>
        <v>38121330</v>
      </c>
      <c r="M70" s="20">
        <f t="shared" ref="M70:N70" si="32">L70</f>
        <v>38121330</v>
      </c>
      <c r="N70" s="22">
        <f t="shared" si="32"/>
        <v>38121330</v>
      </c>
      <c r="O70" s="20">
        <f>N70*($B$67+1)</f>
        <v>39264969.899999999</v>
      </c>
      <c r="P70" s="20">
        <f>O70</f>
        <v>39264969.899999999</v>
      </c>
      <c r="Q70" s="20">
        <f t="shared" ref="Q70:R70" si="33">P70</f>
        <v>39264969.899999999</v>
      </c>
      <c r="R70" s="22">
        <f t="shared" si="33"/>
        <v>39264969.899999999</v>
      </c>
      <c r="S70" s="20">
        <f>R70*($B$67+1)</f>
        <v>40442918.997000001</v>
      </c>
      <c r="T70" s="20">
        <f>S70</f>
        <v>40442918.997000001</v>
      </c>
      <c r="U70" s="20">
        <f t="shared" ref="U70:V70" si="34">T70</f>
        <v>40442918.997000001</v>
      </c>
      <c r="V70" s="22">
        <f t="shared" si="34"/>
        <v>40442918.997000001</v>
      </c>
      <c r="W70" s="20">
        <f>V70*($B$67+1)</f>
        <v>41656206.566910006</v>
      </c>
      <c r="X70" s="20">
        <f>W70</f>
        <v>41656206.566910006</v>
      </c>
      <c r="Y70" s="20">
        <f t="shared" ref="Y70" si="35">X70</f>
        <v>41656206.566910006</v>
      </c>
      <c r="Z70" s="22">
        <f t="shared" ref="Z70" si="36">Y70</f>
        <v>41656206.566910006</v>
      </c>
      <c r="AA70" s="20"/>
      <c r="AB70" s="20"/>
      <c r="AC70" s="20"/>
      <c r="AD70" s="22"/>
      <c r="AE70" s="20"/>
      <c r="AF70" s="20"/>
      <c r="AG70" s="20"/>
      <c r="AH70" s="22"/>
      <c r="AI70" s="20"/>
      <c r="AJ70" s="20"/>
      <c r="AK70" s="20"/>
      <c r="AL70" s="22"/>
      <c r="AM70" s="20"/>
      <c r="AN70" s="20"/>
      <c r="AO70" s="20"/>
      <c r="AP70" s="22"/>
    </row>
    <row r="71" spans="1:42" ht="15" thickBot="1">
      <c r="A71" s="405" t="s">
        <v>526</v>
      </c>
      <c r="B71" s="385"/>
      <c r="F71" s="42"/>
      <c r="J71" s="42">
        <f>SUM(G70:J70)</f>
        <v>148044000</v>
      </c>
      <c r="N71" s="42">
        <f>SUM(K70:N70)</f>
        <v>152485320</v>
      </c>
      <c r="R71" s="42">
        <f>SUM(O70:R70)</f>
        <v>157059879.59999999</v>
      </c>
      <c r="V71" s="42">
        <f>SUM(S70:V70)</f>
        <v>161771675.98800001</v>
      </c>
      <c r="Z71" s="42">
        <f>SUM(W70:Z70)</f>
        <v>166624826.26764002</v>
      </c>
      <c r="AD71" s="42"/>
      <c r="AH71" s="42"/>
      <c r="AL71" s="42"/>
      <c r="AP71" s="42"/>
    </row>
    <row r="72" spans="1:42" ht="15">
      <c r="A72" s="101" t="s">
        <v>537</v>
      </c>
      <c r="B72" s="11"/>
      <c r="J72" s="94"/>
      <c r="N72" s="377">
        <f>N71/J71-1</f>
        <v>3.0000000000000027E-2</v>
      </c>
      <c r="R72" s="377">
        <f>R71/N71-1</f>
        <v>3.0000000000000027E-2</v>
      </c>
      <c r="V72" s="377">
        <f>V71/R71-1</f>
        <v>3.0000000000000027E-2</v>
      </c>
      <c r="Z72" s="377">
        <f>Z71/V71-1</f>
        <v>3.0000000000000027E-2</v>
      </c>
      <c r="AD72" s="377"/>
      <c r="AH72" s="377"/>
      <c r="AL72" s="377"/>
      <c r="AP72" s="377"/>
    </row>
    <row r="73" spans="1:42">
      <c r="A73" s="23" t="s">
        <v>538</v>
      </c>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row>
    <row r="74" spans="1:42" ht="15">
      <c r="A74" s="113" t="s">
        <v>589</v>
      </c>
      <c r="B74" s="114">
        <v>0</v>
      </c>
    </row>
    <row r="75" spans="1:42" ht="15">
      <c r="A75" s="37" t="s">
        <v>539</v>
      </c>
      <c r="B75" s="40">
        <v>5000</v>
      </c>
    </row>
    <row r="77" spans="1:42">
      <c r="C77" s="382">
        <v>2026</v>
      </c>
      <c r="D77" s="383"/>
      <c r="E77" s="383"/>
      <c r="F77" s="384"/>
      <c r="G77" s="382">
        <v>2027</v>
      </c>
      <c r="H77" s="383"/>
      <c r="I77" s="383"/>
      <c r="J77" s="384"/>
      <c r="K77" s="382">
        <v>2028</v>
      </c>
      <c r="L77" s="383"/>
      <c r="M77" s="383"/>
      <c r="N77" s="384"/>
      <c r="O77" s="382">
        <v>2029</v>
      </c>
      <c r="P77" s="383"/>
      <c r="Q77" s="383"/>
      <c r="R77" s="384"/>
      <c r="S77" s="382">
        <v>2030</v>
      </c>
      <c r="T77" s="383"/>
      <c r="U77" s="383"/>
      <c r="V77" s="384"/>
      <c r="W77" s="382">
        <v>2030</v>
      </c>
      <c r="X77" s="383"/>
      <c r="Y77" s="383"/>
      <c r="Z77" s="384"/>
      <c r="AA77" s="382"/>
      <c r="AB77" s="383"/>
      <c r="AC77" s="383"/>
      <c r="AD77" s="384"/>
      <c r="AE77" s="382"/>
      <c r="AF77" s="383"/>
      <c r="AG77" s="383"/>
      <c r="AH77" s="384"/>
      <c r="AI77" s="382"/>
      <c r="AJ77" s="383"/>
      <c r="AK77" s="383"/>
      <c r="AL77" s="384"/>
      <c r="AM77" s="382"/>
      <c r="AN77" s="383"/>
      <c r="AO77" s="383"/>
      <c r="AP77" s="384"/>
    </row>
    <row r="78" spans="1:42">
      <c r="C78" s="25" t="s">
        <v>497</v>
      </c>
      <c r="D78" s="25" t="s">
        <v>498</v>
      </c>
      <c r="E78" s="25" t="s">
        <v>499</v>
      </c>
      <c r="F78" s="25" t="s">
        <v>500</v>
      </c>
      <c r="G78" s="25" t="s">
        <v>497</v>
      </c>
      <c r="H78" s="25" t="s">
        <v>498</v>
      </c>
      <c r="I78" s="25" t="s">
        <v>499</v>
      </c>
      <c r="J78" s="25" t="s">
        <v>500</v>
      </c>
      <c r="K78" s="25" t="s">
        <v>497</v>
      </c>
      <c r="L78" s="25" t="s">
        <v>498</v>
      </c>
      <c r="M78" s="25" t="s">
        <v>499</v>
      </c>
      <c r="N78" s="25" t="s">
        <v>500</v>
      </c>
      <c r="O78" s="25" t="s">
        <v>497</v>
      </c>
      <c r="P78" s="25" t="s">
        <v>498</v>
      </c>
      <c r="Q78" s="25" t="s">
        <v>499</v>
      </c>
      <c r="R78" s="25" t="s">
        <v>500</v>
      </c>
      <c r="S78" s="25" t="s">
        <v>497</v>
      </c>
      <c r="T78" s="25" t="s">
        <v>498</v>
      </c>
      <c r="U78" s="25" t="s">
        <v>499</v>
      </c>
      <c r="V78" s="25" t="s">
        <v>500</v>
      </c>
      <c r="W78" s="25" t="s">
        <v>497</v>
      </c>
      <c r="X78" s="25" t="s">
        <v>498</v>
      </c>
      <c r="Y78" s="25" t="s">
        <v>499</v>
      </c>
      <c r="Z78" s="25" t="s">
        <v>500</v>
      </c>
      <c r="AA78" s="25"/>
      <c r="AB78" s="25"/>
      <c r="AC78" s="25"/>
      <c r="AD78" s="25"/>
      <c r="AE78" s="25"/>
      <c r="AF78" s="25"/>
      <c r="AG78" s="25"/>
      <c r="AH78" s="25"/>
      <c r="AI78" s="25"/>
      <c r="AJ78" s="25"/>
      <c r="AK78" s="25"/>
      <c r="AL78" s="25"/>
      <c r="AM78" s="25"/>
      <c r="AN78" s="25"/>
      <c r="AO78" s="25"/>
      <c r="AP78" s="25"/>
    </row>
    <row r="79" spans="1:42" ht="15">
      <c r="A79" s="397" t="s">
        <v>540</v>
      </c>
      <c r="B79" s="398"/>
      <c r="C79" s="18">
        <f>$B$74*3</f>
        <v>0</v>
      </c>
      <c r="D79" s="20">
        <f t="shared" ref="D79:Z79" si="37">$B$74*3</f>
        <v>0</v>
      </c>
      <c r="E79" s="20">
        <f t="shared" si="37"/>
        <v>0</v>
      </c>
      <c r="F79" s="22">
        <f t="shared" si="37"/>
        <v>0</v>
      </c>
      <c r="G79" s="18">
        <f t="shared" si="37"/>
        <v>0</v>
      </c>
      <c r="H79" s="20">
        <f t="shared" si="37"/>
        <v>0</v>
      </c>
      <c r="I79" s="20">
        <f t="shared" si="37"/>
        <v>0</v>
      </c>
      <c r="J79" s="22">
        <f t="shared" si="37"/>
        <v>0</v>
      </c>
      <c r="K79" s="18">
        <f t="shared" si="37"/>
        <v>0</v>
      </c>
      <c r="L79" s="20">
        <f t="shared" si="37"/>
        <v>0</v>
      </c>
      <c r="M79" s="20">
        <f t="shared" si="37"/>
        <v>0</v>
      </c>
      <c r="N79" s="22">
        <f t="shared" si="37"/>
        <v>0</v>
      </c>
      <c r="O79" s="18">
        <f t="shared" si="37"/>
        <v>0</v>
      </c>
      <c r="P79" s="20">
        <f t="shared" si="37"/>
        <v>0</v>
      </c>
      <c r="Q79" s="20">
        <f t="shared" si="37"/>
        <v>0</v>
      </c>
      <c r="R79" s="22">
        <f t="shared" si="37"/>
        <v>0</v>
      </c>
      <c r="S79" s="18">
        <f t="shared" si="37"/>
        <v>0</v>
      </c>
      <c r="T79" s="20">
        <f t="shared" si="37"/>
        <v>0</v>
      </c>
      <c r="U79" s="20">
        <f t="shared" si="37"/>
        <v>0</v>
      </c>
      <c r="V79" s="22">
        <f t="shared" si="37"/>
        <v>0</v>
      </c>
      <c r="W79" s="18">
        <f t="shared" si="37"/>
        <v>0</v>
      </c>
      <c r="X79" s="20">
        <f t="shared" si="37"/>
        <v>0</v>
      </c>
      <c r="Y79" s="20">
        <f t="shared" si="37"/>
        <v>0</v>
      </c>
      <c r="Z79" s="22">
        <f t="shared" si="37"/>
        <v>0</v>
      </c>
      <c r="AA79" s="18"/>
      <c r="AB79" s="20"/>
      <c r="AC79" s="20"/>
      <c r="AD79" s="22"/>
      <c r="AE79" s="18"/>
      <c r="AF79" s="20"/>
      <c r="AG79" s="20"/>
      <c r="AH79" s="22"/>
      <c r="AI79" s="18"/>
      <c r="AJ79" s="20"/>
      <c r="AK79" s="20"/>
      <c r="AL79" s="22"/>
      <c r="AM79" s="18"/>
      <c r="AN79" s="20"/>
      <c r="AO79" s="20"/>
      <c r="AP79" s="22"/>
    </row>
    <row r="80" spans="1:42" ht="15">
      <c r="A80" s="399" t="s">
        <v>304</v>
      </c>
      <c r="B80" s="400"/>
      <c r="C80" s="45">
        <f>$B$75*3</f>
        <v>15000</v>
      </c>
      <c r="D80" s="21">
        <f t="shared" ref="D80:Z80" si="38">$B$75*3</f>
        <v>15000</v>
      </c>
      <c r="E80" s="21">
        <f t="shared" si="38"/>
        <v>15000</v>
      </c>
      <c r="F80" s="15">
        <f t="shared" si="38"/>
        <v>15000</v>
      </c>
      <c r="G80" s="45">
        <f t="shared" si="38"/>
        <v>15000</v>
      </c>
      <c r="H80" s="21">
        <f t="shared" si="38"/>
        <v>15000</v>
      </c>
      <c r="I80" s="21">
        <f t="shared" si="38"/>
        <v>15000</v>
      </c>
      <c r="J80" s="15">
        <f t="shared" si="38"/>
        <v>15000</v>
      </c>
      <c r="K80" s="45">
        <f t="shared" si="38"/>
        <v>15000</v>
      </c>
      <c r="L80" s="21">
        <f t="shared" si="38"/>
        <v>15000</v>
      </c>
      <c r="M80" s="21">
        <f t="shared" si="38"/>
        <v>15000</v>
      </c>
      <c r="N80" s="15">
        <f t="shared" si="38"/>
        <v>15000</v>
      </c>
      <c r="O80" s="45">
        <f t="shared" si="38"/>
        <v>15000</v>
      </c>
      <c r="P80" s="21">
        <f t="shared" si="38"/>
        <v>15000</v>
      </c>
      <c r="Q80" s="21">
        <f t="shared" si="38"/>
        <v>15000</v>
      </c>
      <c r="R80" s="15">
        <f t="shared" si="38"/>
        <v>15000</v>
      </c>
      <c r="S80" s="45">
        <f t="shared" si="38"/>
        <v>15000</v>
      </c>
      <c r="T80" s="21">
        <f t="shared" si="38"/>
        <v>15000</v>
      </c>
      <c r="U80" s="21">
        <f t="shared" si="38"/>
        <v>15000</v>
      </c>
      <c r="V80" s="15">
        <f t="shared" si="38"/>
        <v>15000</v>
      </c>
      <c r="W80" s="45">
        <f t="shared" si="38"/>
        <v>15000</v>
      </c>
      <c r="X80" s="21">
        <f t="shared" si="38"/>
        <v>15000</v>
      </c>
      <c r="Y80" s="21">
        <f t="shared" si="38"/>
        <v>15000</v>
      </c>
      <c r="Z80" s="15">
        <f t="shared" si="38"/>
        <v>15000</v>
      </c>
      <c r="AA80" s="45"/>
      <c r="AB80" s="21"/>
      <c r="AC80" s="21"/>
      <c r="AD80" s="15"/>
      <c r="AE80" s="45"/>
      <c r="AF80" s="21"/>
      <c r="AG80" s="21"/>
      <c r="AH80" s="15"/>
      <c r="AI80" s="45"/>
      <c r="AJ80" s="21"/>
      <c r="AK80" s="21"/>
      <c r="AL80" s="15"/>
      <c r="AM80" s="45"/>
      <c r="AN80" s="21"/>
      <c r="AO80" s="21"/>
      <c r="AP80" s="15"/>
    </row>
    <row r="81" spans="1:42" ht="15" thickBot="1">
      <c r="A81" s="401" t="s">
        <v>526</v>
      </c>
      <c r="B81" s="402"/>
      <c r="F81" s="42">
        <f>SUM(C79:F80)</f>
        <v>60000</v>
      </c>
      <c r="J81" s="42">
        <f>SUM(G79:J80)</f>
        <v>60000</v>
      </c>
      <c r="N81" s="42">
        <f>SUM(K79:N80)</f>
        <v>60000</v>
      </c>
      <c r="R81" s="42">
        <f>SUM(O79:R80)</f>
        <v>60000</v>
      </c>
      <c r="V81" s="42">
        <f>SUM(S79:V80)</f>
        <v>60000</v>
      </c>
      <c r="Z81" s="42">
        <f>SUM(W79:Z80)</f>
        <v>60000</v>
      </c>
      <c r="AD81" s="42"/>
      <c r="AH81" s="42"/>
      <c r="AL81" s="42"/>
      <c r="AP81" s="42"/>
    </row>
    <row r="83" spans="1:42">
      <c r="A83" s="23" t="s">
        <v>541</v>
      </c>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row>
    <row r="84" spans="1:42" ht="15">
      <c r="A84" s="37" t="s">
        <v>542</v>
      </c>
      <c r="B84" s="40">
        <v>0</v>
      </c>
    </row>
    <row r="86" spans="1:42">
      <c r="C86" s="382">
        <v>2026</v>
      </c>
      <c r="D86" s="383"/>
      <c r="E86" s="383"/>
      <c r="F86" s="384"/>
      <c r="G86" s="382">
        <v>2027</v>
      </c>
      <c r="H86" s="383"/>
      <c r="I86" s="383"/>
      <c r="J86" s="384"/>
      <c r="K86" s="382">
        <v>2028</v>
      </c>
      <c r="L86" s="383"/>
      <c r="M86" s="383"/>
      <c r="N86" s="384"/>
      <c r="O86" s="382">
        <v>2029</v>
      </c>
      <c r="P86" s="383"/>
      <c r="Q86" s="383"/>
      <c r="R86" s="384"/>
      <c r="S86" s="382">
        <v>2030</v>
      </c>
      <c r="T86" s="383"/>
      <c r="U86" s="383"/>
      <c r="V86" s="384"/>
      <c r="W86" s="382">
        <v>2030</v>
      </c>
      <c r="X86" s="383"/>
      <c r="Y86" s="383"/>
      <c r="Z86" s="384"/>
      <c r="AA86" s="382"/>
      <c r="AB86" s="383"/>
      <c r="AC86" s="383"/>
      <c r="AD86" s="384"/>
      <c r="AE86" s="382"/>
      <c r="AF86" s="383"/>
      <c r="AG86" s="383"/>
      <c r="AH86" s="384"/>
      <c r="AI86" s="382"/>
      <c r="AJ86" s="383"/>
      <c r="AK86" s="383"/>
      <c r="AL86" s="384"/>
      <c r="AM86" s="382"/>
      <c r="AN86" s="383"/>
      <c r="AO86" s="383"/>
      <c r="AP86" s="384"/>
    </row>
    <row r="87" spans="1:42">
      <c r="C87" s="25" t="s">
        <v>497</v>
      </c>
      <c r="D87" s="25" t="s">
        <v>498</v>
      </c>
      <c r="E87" s="25" t="s">
        <v>499</v>
      </c>
      <c r="F87" s="25" t="s">
        <v>500</v>
      </c>
      <c r="G87" s="25" t="s">
        <v>497</v>
      </c>
      <c r="H87" s="25" t="s">
        <v>498</v>
      </c>
      <c r="I87" s="25" t="s">
        <v>499</v>
      </c>
      <c r="J87" s="25" t="s">
        <v>500</v>
      </c>
      <c r="K87" s="25" t="s">
        <v>497</v>
      </c>
      <c r="L87" s="25" t="s">
        <v>498</v>
      </c>
      <c r="M87" s="25" t="s">
        <v>499</v>
      </c>
      <c r="N87" s="25" t="s">
        <v>500</v>
      </c>
      <c r="O87" s="25" t="s">
        <v>497</v>
      </c>
      <c r="P87" s="25" t="s">
        <v>498</v>
      </c>
      <c r="Q87" s="25" t="s">
        <v>499</v>
      </c>
      <c r="R87" s="25" t="s">
        <v>500</v>
      </c>
      <c r="S87" s="25" t="s">
        <v>497</v>
      </c>
      <c r="T87" s="25" t="s">
        <v>498</v>
      </c>
      <c r="U87" s="25" t="s">
        <v>499</v>
      </c>
      <c r="V87" s="25" t="s">
        <v>500</v>
      </c>
      <c r="W87" s="25" t="s">
        <v>497</v>
      </c>
      <c r="X87" s="25" t="s">
        <v>498</v>
      </c>
      <c r="Y87" s="25" t="s">
        <v>499</v>
      </c>
      <c r="Z87" s="25" t="s">
        <v>500</v>
      </c>
      <c r="AA87" s="25"/>
      <c r="AB87" s="25"/>
      <c r="AC87" s="25"/>
      <c r="AD87" s="25"/>
      <c r="AE87" s="25"/>
      <c r="AF87" s="25"/>
      <c r="AG87" s="25"/>
      <c r="AH87" s="25"/>
      <c r="AI87" s="25"/>
      <c r="AJ87" s="25"/>
      <c r="AK87" s="25"/>
      <c r="AL87" s="25"/>
      <c r="AM87" s="25"/>
      <c r="AN87" s="25"/>
      <c r="AO87" s="25"/>
      <c r="AP87" s="25"/>
    </row>
    <row r="88" spans="1:42" ht="15">
      <c r="A88" s="403" t="s">
        <v>543</v>
      </c>
      <c r="B88" s="404"/>
      <c r="C88" s="50">
        <f>$B$84*3</f>
        <v>0</v>
      </c>
      <c r="D88" s="52">
        <f t="shared" ref="D88:Z88" si="39">$B$84*3</f>
        <v>0</v>
      </c>
      <c r="E88" s="52">
        <f t="shared" si="39"/>
        <v>0</v>
      </c>
      <c r="F88" s="51">
        <f t="shared" si="39"/>
        <v>0</v>
      </c>
      <c r="G88" s="50">
        <f t="shared" si="39"/>
        <v>0</v>
      </c>
      <c r="H88" s="52">
        <f t="shared" si="39"/>
        <v>0</v>
      </c>
      <c r="I88" s="52">
        <f t="shared" si="39"/>
        <v>0</v>
      </c>
      <c r="J88" s="51">
        <f t="shared" si="39"/>
        <v>0</v>
      </c>
      <c r="K88" s="50">
        <f t="shared" si="39"/>
        <v>0</v>
      </c>
      <c r="L88" s="52">
        <f t="shared" si="39"/>
        <v>0</v>
      </c>
      <c r="M88" s="52">
        <f t="shared" si="39"/>
        <v>0</v>
      </c>
      <c r="N88" s="51">
        <f t="shared" si="39"/>
        <v>0</v>
      </c>
      <c r="O88" s="50">
        <f t="shared" si="39"/>
        <v>0</v>
      </c>
      <c r="P88" s="52">
        <f t="shared" si="39"/>
        <v>0</v>
      </c>
      <c r="Q88" s="52">
        <f t="shared" si="39"/>
        <v>0</v>
      </c>
      <c r="R88" s="51">
        <f t="shared" si="39"/>
        <v>0</v>
      </c>
      <c r="S88" s="50">
        <f t="shared" si="39"/>
        <v>0</v>
      </c>
      <c r="T88" s="52">
        <f t="shared" si="39"/>
        <v>0</v>
      </c>
      <c r="U88" s="52">
        <f t="shared" si="39"/>
        <v>0</v>
      </c>
      <c r="V88" s="51">
        <f t="shared" si="39"/>
        <v>0</v>
      </c>
      <c r="W88" s="50">
        <f t="shared" si="39"/>
        <v>0</v>
      </c>
      <c r="X88" s="52">
        <f t="shared" si="39"/>
        <v>0</v>
      </c>
      <c r="Y88" s="52">
        <f t="shared" si="39"/>
        <v>0</v>
      </c>
      <c r="Z88" s="51">
        <f t="shared" si="39"/>
        <v>0</v>
      </c>
      <c r="AA88" s="50"/>
      <c r="AB88" s="52"/>
      <c r="AC88" s="52"/>
      <c r="AD88" s="51"/>
      <c r="AE88" s="50"/>
      <c r="AF88" s="52"/>
      <c r="AG88" s="52"/>
      <c r="AH88" s="51"/>
      <c r="AI88" s="50"/>
      <c r="AJ88" s="52"/>
      <c r="AK88" s="52"/>
      <c r="AL88" s="51"/>
      <c r="AM88" s="50"/>
      <c r="AN88" s="52"/>
      <c r="AO88" s="52"/>
      <c r="AP88" s="51"/>
    </row>
    <row r="89" spans="1:42" ht="15" thickBot="1">
      <c r="A89" s="405" t="s">
        <v>526</v>
      </c>
      <c r="B89" s="385"/>
      <c r="F89" s="42">
        <f>SUM(C88:F88)</f>
        <v>0</v>
      </c>
      <c r="J89" s="42">
        <f>SUM(G88:J88)</f>
        <v>0</v>
      </c>
      <c r="N89" s="42">
        <f>SUM(K88:N88)</f>
        <v>0</v>
      </c>
      <c r="R89" s="42">
        <f>SUM(O88:R88)</f>
        <v>0</v>
      </c>
      <c r="V89" s="42">
        <f>SUM(S88:V88)</f>
        <v>0</v>
      </c>
      <c r="Z89" s="42">
        <f>SUM(W88:Z88)</f>
        <v>0</v>
      </c>
      <c r="AD89" s="42"/>
      <c r="AH89" s="42"/>
      <c r="AL89" s="42"/>
      <c r="AP89" s="42"/>
    </row>
    <row r="91" spans="1:42">
      <c r="A91" s="23" t="s">
        <v>544</v>
      </c>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row>
    <row r="92" spans="1:42" ht="15">
      <c r="A92" s="37" t="s">
        <v>545</v>
      </c>
      <c r="B92" s="12">
        <v>0</v>
      </c>
    </row>
    <row r="93" spans="1:42" ht="15">
      <c r="A93" s="37" t="s">
        <v>546</v>
      </c>
      <c r="B93" s="12">
        <v>0</v>
      </c>
    </row>
    <row r="94" spans="1:42" ht="15">
      <c r="A94" s="37"/>
      <c r="B94" s="12"/>
    </row>
    <row r="95" spans="1:42" ht="15">
      <c r="A95" s="37" t="s">
        <v>575</v>
      </c>
      <c r="B95" s="181">
        <f>13500000/12</f>
        <v>1125000</v>
      </c>
    </row>
    <row r="97" spans="1:42">
      <c r="C97" s="382">
        <v>2026</v>
      </c>
      <c r="D97" s="383"/>
      <c r="E97" s="383"/>
      <c r="F97" s="384"/>
      <c r="G97" s="382">
        <v>2027</v>
      </c>
      <c r="H97" s="383"/>
      <c r="I97" s="383"/>
      <c r="J97" s="384"/>
      <c r="K97" s="382">
        <v>2028</v>
      </c>
      <c r="L97" s="383"/>
      <c r="M97" s="383"/>
      <c r="N97" s="384"/>
      <c r="O97" s="382">
        <v>2029</v>
      </c>
      <c r="P97" s="383"/>
      <c r="Q97" s="383"/>
      <c r="R97" s="384"/>
      <c r="S97" s="382">
        <v>2030</v>
      </c>
      <c r="T97" s="383"/>
      <c r="U97" s="383"/>
      <c r="V97" s="384"/>
      <c r="W97" s="382">
        <v>2030</v>
      </c>
      <c r="X97" s="383"/>
      <c r="Y97" s="383"/>
      <c r="Z97" s="384"/>
      <c r="AA97" s="382"/>
      <c r="AB97" s="383"/>
      <c r="AC97" s="383"/>
      <c r="AD97" s="384"/>
      <c r="AE97" s="382"/>
      <c r="AF97" s="383"/>
      <c r="AG97" s="383"/>
      <c r="AH97" s="384"/>
      <c r="AI97" s="382"/>
      <c r="AJ97" s="383"/>
      <c r="AK97" s="383"/>
      <c r="AL97" s="384"/>
      <c r="AM97" s="382"/>
      <c r="AN97" s="383"/>
      <c r="AO97" s="383"/>
      <c r="AP97" s="384"/>
    </row>
    <row r="98" spans="1:42">
      <c r="C98" s="25" t="s">
        <v>497</v>
      </c>
      <c r="D98" s="25" t="s">
        <v>498</v>
      </c>
      <c r="E98" s="25" t="s">
        <v>499</v>
      </c>
      <c r="F98" s="25" t="s">
        <v>500</v>
      </c>
      <c r="G98" s="25" t="s">
        <v>497</v>
      </c>
      <c r="H98" s="25" t="s">
        <v>498</v>
      </c>
      <c r="I98" s="25" t="s">
        <v>499</v>
      </c>
      <c r="J98" s="25" t="s">
        <v>500</v>
      </c>
      <c r="K98" s="25" t="s">
        <v>497</v>
      </c>
      <c r="L98" s="25" t="s">
        <v>498</v>
      </c>
      <c r="M98" s="25" t="s">
        <v>499</v>
      </c>
      <c r="N98" s="25" t="s">
        <v>500</v>
      </c>
      <c r="O98" s="25" t="s">
        <v>497</v>
      </c>
      <c r="P98" s="25" t="s">
        <v>498</v>
      </c>
      <c r="Q98" s="25" t="s">
        <v>499</v>
      </c>
      <c r="R98" s="25" t="s">
        <v>500</v>
      </c>
      <c r="S98" s="25" t="s">
        <v>497</v>
      </c>
      <c r="T98" s="25" t="s">
        <v>498</v>
      </c>
      <c r="U98" s="25" t="s">
        <v>499</v>
      </c>
      <c r="V98" s="25" t="s">
        <v>500</v>
      </c>
      <c r="W98" s="25" t="s">
        <v>497</v>
      </c>
      <c r="X98" s="25" t="s">
        <v>498</v>
      </c>
      <c r="Y98" s="25" t="s">
        <v>499</v>
      </c>
      <c r="Z98" s="25" t="s">
        <v>500</v>
      </c>
      <c r="AA98" s="25"/>
      <c r="AB98" s="25"/>
      <c r="AC98" s="25"/>
      <c r="AD98" s="25"/>
      <c r="AE98" s="25"/>
      <c r="AF98" s="25"/>
      <c r="AG98" s="25"/>
      <c r="AH98" s="25"/>
      <c r="AI98" s="25"/>
      <c r="AJ98" s="25"/>
      <c r="AK98" s="25"/>
      <c r="AL98" s="25"/>
      <c r="AM98" s="25"/>
      <c r="AN98" s="25"/>
      <c r="AO98" s="25"/>
      <c r="AP98" s="25"/>
    </row>
    <row r="99" spans="1:42" ht="15">
      <c r="A99" s="403" t="s">
        <v>547</v>
      </c>
      <c r="B99" s="404"/>
      <c r="C99" s="50">
        <v>150000</v>
      </c>
      <c r="D99" s="50">
        <v>150000</v>
      </c>
      <c r="E99" s="50">
        <v>100000</v>
      </c>
      <c r="F99" s="50">
        <f>($B$92+$B$93)*3</f>
        <v>0</v>
      </c>
      <c r="G99" s="50">
        <f>($B$92+$B$93+$B$95)*3</f>
        <v>3375000</v>
      </c>
      <c r="H99" s="52">
        <f t="shared" ref="H99:Z99" si="40">($B$92+$B$93+$B$95)*3</f>
        <v>3375000</v>
      </c>
      <c r="I99" s="52">
        <f t="shared" si="40"/>
        <v>3375000</v>
      </c>
      <c r="J99" s="51">
        <f t="shared" si="40"/>
        <v>3375000</v>
      </c>
      <c r="K99" s="50">
        <f t="shared" si="40"/>
        <v>3375000</v>
      </c>
      <c r="L99" s="52">
        <f t="shared" si="40"/>
        <v>3375000</v>
      </c>
      <c r="M99" s="52">
        <f t="shared" si="40"/>
        <v>3375000</v>
      </c>
      <c r="N99" s="51">
        <f t="shared" si="40"/>
        <v>3375000</v>
      </c>
      <c r="O99" s="50">
        <f t="shared" si="40"/>
        <v>3375000</v>
      </c>
      <c r="P99" s="52">
        <f t="shared" si="40"/>
        <v>3375000</v>
      </c>
      <c r="Q99" s="52">
        <f t="shared" si="40"/>
        <v>3375000</v>
      </c>
      <c r="R99" s="51">
        <f t="shared" si="40"/>
        <v>3375000</v>
      </c>
      <c r="S99" s="50">
        <f t="shared" si="40"/>
        <v>3375000</v>
      </c>
      <c r="T99" s="52">
        <f t="shared" si="40"/>
        <v>3375000</v>
      </c>
      <c r="U99" s="52">
        <f t="shared" si="40"/>
        <v>3375000</v>
      </c>
      <c r="V99" s="51">
        <f t="shared" si="40"/>
        <v>3375000</v>
      </c>
      <c r="W99" s="50">
        <f t="shared" si="40"/>
        <v>3375000</v>
      </c>
      <c r="X99" s="52">
        <f t="shared" si="40"/>
        <v>3375000</v>
      </c>
      <c r="Y99" s="52">
        <f t="shared" si="40"/>
        <v>3375000</v>
      </c>
      <c r="Z99" s="51">
        <f t="shared" si="40"/>
        <v>3375000</v>
      </c>
      <c r="AA99" s="50"/>
      <c r="AB99" s="52"/>
      <c r="AC99" s="52"/>
      <c r="AD99" s="51"/>
      <c r="AE99" s="50"/>
      <c r="AF99" s="52"/>
      <c r="AG99" s="52"/>
      <c r="AH99" s="51"/>
      <c r="AI99" s="50"/>
      <c r="AJ99" s="52"/>
      <c r="AK99" s="52"/>
      <c r="AL99" s="51"/>
      <c r="AM99" s="50"/>
      <c r="AN99" s="52"/>
      <c r="AO99" s="52"/>
      <c r="AP99" s="51"/>
    </row>
    <row r="100" spans="1:42" ht="15" thickBot="1">
      <c r="A100" s="405" t="s">
        <v>526</v>
      </c>
      <c r="B100" s="385"/>
      <c r="F100" s="42">
        <f>SUM(C99:F99)</f>
        <v>400000</v>
      </c>
      <c r="J100" s="42">
        <f>SUM(G99:J99)</f>
        <v>13500000</v>
      </c>
      <c r="N100" s="42">
        <f>SUM(K99:N99)</f>
        <v>13500000</v>
      </c>
      <c r="R100" s="42">
        <f>SUM(O99:R99)</f>
        <v>13500000</v>
      </c>
      <c r="V100" s="42">
        <f>SUM(S99:V99)</f>
        <v>13500000</v>
      </c>
      <c r="Z100" s="42">
        <f>SUM(W99:Z99)</f>
        <v>13500000</v>
      </c>
      <c r="AD100" s="42"/>
      <c r="AH100" s="42"/>
      <c r="AL100" s="42"/>
      <c r="AP100" s="42"/>
    </row>
    <row r="102" spans="1:42">
      <c r="A102" s="23" t="s">
        <v>548</v>
      </c>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row>
    <row r="103" spans="1:42" ht="15">
      <c r="A103" s="11"/>
      <c r="B103" s="81">
        <v>0</v>
      </c>
    </row>
    <row r="105" spans="1:42">
      <c r="C105" s="382">
        <v>2026</v>
      </c>
      <c r="D105" s="383"/>
      <c r="E105" s="383"/>
      <c r="F105" s="384"/>
      <c r="G105" s="382">
        <v>2027</v>
      </c>
      <c r="H105" s="383"/>
      <c r="I105" s="383"/>
      <c r="J105" s="384"/>
      <c r="K105" s="382">
        <v>2028</v>
      </c>
      <c r="L105" s="383"/>
      <c r="M105" s="383"/>
      <c r="N105" s="384"/>
      <c r="O105" s="382">
        <v>2029</v>
      </c>
      <c r="P105" s="383"/>
      <c r="Q105" s="383"/>
      <c r="R105" s="384"/>
      <c r="S105" s="382">
        <v>2030</v>
      </c>
      <c r="T105" s="383"/>
      <c r="U105" s="383"/>
      <c r="V105" s="384"/>
      <c r="W105" s="382">
        <v>2030</v>
      </c>
      <c r="X105" s="383"/>
      <c r="Y105" s="383"/>
      <c r="Z105" s="384"/>
      <c r="AA105" s="382"/>
      <c r="AB105" s="383"/>
      <c r="AC105" s="383"/>
      <c r="AD105" s="384"/>
      <c r="AE105" s="382"/>
      <c r="AF105" s="383"/>
      <c r="AG105" s="383"/>
      <c r="AH105" s="384"/>
      <c r="AI105" s="382"/>
      <c r="AJ105" s="383"/>
      <c r="AK105" s="383"/>
      <c r="AL105" s="384"/>
      <c r="AM105" s="382"/>
      <c r="AN105" s="383"/>
      <c r="AO105" s="383"/>
      <c r="AP105" s="384"/>
    </row>
    <row r="106" spans="1:42">
      <c r="C106" s="25" t="s">
        <v>497</v>
      </c>
      <c r="D106" s="25" t="s">
        <v>498</v>
      </c>
      <c r="E106" s="25" t="s">
        <v>499</v>
      </c>
      <c r="F106" s="25" t="s">
        <v>500</v>
      </c>
      <c r="G106" s="25" t="s">
        <v>497</v>
      </c>
      <c r="H106" s="25" t="s">
        <v>498</v>
      </c>
      <c r="I106" s="25" t="s">
        <v>499</v>
      </c>
      <c r="J106" s="25" t="s">
        <v>500</v>
      </c>
      <c r="K106" s="25" t="s">
        <v>497</v>
      </c>
      <c r="L106" s="25" t="s">
        <v>498</v>
      </c>
      <c r="M106" s="25" t="s">
        <v>499</v>
      </c>
      <c r="N106" s="25" t="s">
        <v>500</v>
      </c>
      <c r="O106" s="25" t="s">
        <v>497</v>
      </c>
      <c r="P106" s="25" t="s">
        <v>498</v>
      </c>
      <c r="Q106" s="25" t="s">
        <v>499</v>
      </c>
      <c r="R106" s="25" t="s">
        <v>500</v>
      </c>
      <c r="S106" s="25" t="s">
        <v>497</v>
      </c>
      <c r="T106" s="25" t="s">
        <v>498</v>
      </c>
      <c r="U106" s="25" t="s">
        <v>499</v>
      </c>
      <c r="V106" s="25" t="s">
        <v>500</v>
      </c>
      <c r="W106" s="25" t="s">
        <v>497</v>
      </c>
      <c r="X106" s="25" t="s">
        <v>498</v>
      </c>
      <c r="Y106" s="25" t="s">
        <v>499</v>
      </c>
      <c r="Z106" s="25" t="s">
        <v>500</v>
      </c>
      <c r="AA106" s="25"/>
      <c r="AB106" s="25"/>
      <c r="AC106" s="25"/>
      <c r="AD106" s="25"/>
      <c r="AE106" s="25"/>
      <c r="AF106" s="25"/>
      <c r="AG106" s="25"/>
      <c r="AH106" s="25"/>
      <c r="AI106" s="25"/>
      <c r="AJ106" s="25"/>
      <c r="AK106" s="25"/>
      <c r="AL106" s="25"/>
      <c r="AM106" s="25"/>
      <c r="AN106" s="25"/>
      <c r="AO106" s="25"/>
      <c r="AP106" s="25"/>
    </row>
    <row r="107" spans="1:42" ht="15">
      <c r="A107" s="403" t="s">
        <v>549</v>
      </c>
      <c r="B107" s="404"/>
      <c r="C107" s="50">
        <f>(Incomes!C5+Incomes!C6)*Costs!$B$103</f>
        <v>0</v>
      </c>
      <c r="D107" s="52">
        <f>(Incomes!D5+Incomes!D6)*Costs!$B$103</f>
        <v>0</v>
      </c>
      <c r="E107" s="52">
        <f>(Incomes!E5+Incomes!E6)*Costs!$B$103</f>
        <v>0</v>
      </c>
      <c r="F107" s="51">
        <f>(Incomes!F5+Incomes!F6)*Costs!$B$103</f>
        <v>0</v>
      </c>
      <c r="G107" s="50">
        <f>(Incomes!G5+Incomes!G6)*Costs!$B$103</f>
        <v>0</v>
      </c>
      <c r="H107" s="52">
        <f>(Incomes!H5+Incomes!H6)*Costs!$B$103</f>
        <v>0</v>
      </c>
      <c r="I107" s="52">
        <f>(Incomes!I5+Incomes!I6)*Costs!$B$103</f>
        <v>0</v>
      </c>
      <c r="J107" s="51">
        <f>(Incomes!J5+Incomes!J6)*Costs!$B$103</f>
        <v>0</v>
      </c>
      <c r="K107" s="50">
        <f>(Incomes!K5+Incomes!K6)*Costs!$B$103</f>
        <v>0</v>
      </c>
      <c r="L107" s="52">
        <f>(Incomes!L5+Incomes!L6)*Costs!$B$103</f>
        <v>0</v>
      </c>
      <c r="M107" s="52">
        <f>(Incomes!M5+Incomes!M6)*Costs!$B$103</f>
        <v>0</v>
      </c>
      <c r="N107" s="51">
        <f>(Incomes!N5+Incomes!N6)*Costs!$B$103</f>
        <v>0</v>
      </c>
      <c r="O107" s="50">
        <f>(Incomes!O5+Incomes!O6)*Costs!$B$103</f>
        <v>0</v>
      </c>
      <c r="P107" s="52">
        <f>(Incomes!P5+Incomes!P6)*Costs!$B$103</f>
        <v>0</v>
      </c>
      <c r="Q107" s="52">
        <f>(Incomes!Q5+Incomes!Q6)*Costs!$B$103</f>
        <v>0</v>
      </c>
      <c r="R107" s="51">
        <f>(Incomes!R5+Incomes!R6)*Costs!$B$103</f>
        <v>0</v>
      </c>
      <c r="S107" s="50">
        <f>(Incomes!S5+Incomes!S6)*Costs!$B$103</f>
        <v>0</v>
      </c>
      <c r="T107" s="52">
        <f>(Incomes!T5+Incomes!T6)*Costs!$B$103</f>
        <v>0</v>
      </c>
      <c r="U107" s="52">
        <f>(Incomes!U5+Incomes!U6)*Costs!$B$103</f>
        <v>0</v>
      </c>
      <c r="V107" s="51">
        <f>(Incomes!V5+Incomes!V6)*Costs!$B$103</f>
        <v>0</v>
      </c>
      <c r="W107" s="50">
        <f>(Incomes!W5+Incomes!W6)*Costs!$B$103</f>
        <v>0</v>
      </c>
      <c r="X107" s="52">
        <f>(Incomes!X5+Incomes!X6)*Costs!$B$103</f>
        <v>0</v>
      </c>
      <c r="Y107" s="52">
        <f>(Incomes!Y5+Incomes!Y6)*Costs!$B$103</f>
        <v>0</v>
      </c>
      <c r="Z107" s="51">
        <f>(Incomes!Z5+Incomes!Z6)*Costs!$B$103</f>
        <v>0</v>
      </c>
      <c r="AA107" s="50"/>
      <c r="AB107" s="52"/>
      <c r="AC107" s="52"/>
      <c r="AD107" s="51"/>
      <c r="AE107" s="50"/>
      <c r="AF107" s="52"/>
      <c r="AG107" s="52"/>
      <c r="AH107" s="51"/>
      <c r="AI107" s="50"/>
      <c r="AJ107" s="52"/>
      <c r="AK107" s="52"/>
      <c r="AL107" s="51"/>
      <c r="AM107" s="50"/>
      <c r="AN107" s="52"/>
      <c r="AO107" s="52"/>
      <c r="AP107" s="51"/>
    </row>
    <row r="108" spans="1:42" ht="15" thickBot="1">
      <c r="A108" s="405" t="s">
        <v>526</v>
      </c>
      <c r="B108" s="385"/>
      <c r="F108" s="42">
        <f>SUM(C107:F107)</f>
        <v>0</v>
      </c>
      <c r="J108" s="42">
        <f>SUM(G107:J107)</f>
        <v>0</v>
      </c>
      <c r="N108" s="42">
        <f>SUM(K107:N107)</f>
        <v>0</v>
      </c>
      <c r="R108" s="42">
        <f>SUM(O107:R107)</f>
        <v>0</v>
      </c>
      <c r="V108" s="42">
        <f>SUM(S107:V107)</f>
        <v>0</v>
      </c>
      <c r="Z108" s="42">
        <f>SUM(W107:Z107)</f>
        <v>0</v>
      </c>
      <c r="AD108" s="42"/>
      <c r="AH108" s="42"/>
      <c r="AL108" s="42"/>
      <c r="AP108" s="42"/>
    </row>
    <row r="110" spans="1:42">
      <c r="A110" s="23" t="s">
        <v>550</v>
      </c>
      <c r="B110" s="23"/>
    </row>
    <row r="111" spans="1:42" ht="15">
      <c r="A111" s="11" t="s">
        <v>551</v>
      </c>
      <c r="B111" s="79">
        <f>0.4</f>
        <v>0.4</v>
      </c>
    </row>
    <row r="113" spans="1:42">
      <c r="C113" s="382">
        <v>2026</v>
      </c>
      <c r="D113" s="383"/>
      <c r="E113" s="383"/>
      <c r="F113" s="384"/>
      <c r="G113" s="382">
        <v>2027</v>
      </c>
      <c r="H113" s="383"/>
      <c r="I113" s="383"/>
      <c r="J113" s="384"/>
      <c r="K113" s="382">
        <v>2028</v>
      </c>
      <c r="L113" s="383"/>
      <c r="M113" s="383"/>
      <c r="N113" s="384"/>
      <c r="O113" s="382">
        <v>2029</v>
      </c>
      <c r="P113" s="383"/>
      <c r="Q113" s="383"/>
      <c r="R113" s="384"/>
      <c r="S113" s="382">
        <v>2030</v>
      </c>
      <c r="T113" s="383"/>
      <c r="U113" s="383"/>
      <c r="V113" s="384"/>
      <c r="W113" s="382">
        <v>2030</v>
      </c>
      <c r="X113" s="383"/>
      <c r="Y113" s="383"/>
      <c r="Z113" s="384"/>
      <c r="AA113" s="382"/>
      <c r="AB113" s="383"/>
      <c r="AC113" s="383"/>
      <c r="AD113" s="384"/>
      <c r="AE113" s="382"/>
      <c r="AF113" s="383"/>
      <c r="AG113" s="383"/>
      <c r="AH113" s="384"/>
      <c r="AI113" s="382"/>
      <c r="AJ113" s="383"/>
      <c r="AK113" s="383"/>
      <c r="AL113" s="384"/>
      <c r="AM113" s="382"/>
      <c r="AN113" s="383"/>
      <c r="AO113" s="383"/>
      <c r="AP113" s="384"/>
    </row>
    <row r="114" spans="1:42">
      <c r="C114" s="25" t="s">
        <v>497</v>
      </c>
      <c r="D114" s="25" t="s">
        <v>498</v>
      </c>
      <c r="E114" s="25" t="s">
        <v>499</v>
      </c>
      <c r="F114" s="25" t="s">
        <v>500</v>
      </c>
      <c r="G114" s="25" t="s">
        <v>497</v>
      </c>
      <c r="H114" s="25" t="s">
        <v>498</v>
      </c>
      <c r="I114" s="25" t="s">
        <v>499</v>
      </c>
      <c r="J114" s="25" t="s">
        <v>500</v>
      </c>
      <c r="K114" s="25" t="s">
        <v>497</v>
      </c>
      <c r="L114" s="25" t="s">
        <v>498</v>
      </c>
      <c r="M114" s="25" t="s">
        <v>499</v>
      </c>
      <c r="N114" s="25" t="s">
        <v>500</v>
      </c>
      <c r="O114" s="25" t="s">
        <v>497</v>
      </c>
      <c r="P114" s="25" t="s">
        <v>498</v>
      </c>
      <c r="Q114" s="25" t="s">
        <v>499</v>
      </c>
      <c r="R114" s="25" t="s">
        <v>500</v>
      </c>
      <c r="S114" s="25" t="s">
        <v>497</v>
      </c>
      <c r="T114" s="25" t="s">
        <v>498</v>
      </c>
      <c r="U114" s="25" t="s">
        <v>499</v>
      </c>
      <c r="V114" s="25" t="s">
        <v>500</v>
      </c>
      <c r="W114" s="25" t="s">
        <v>497</v>
      </c>
      <c r="X114" s="25" t="s">
        <v>498</v>
      </c>
      <c r="Y114" s="25" t="s">
        <v>499</v>
      </c>
      <c r="Z114" s="25" t="s">
        <v>500</v>
      </c>
      <c r="AA114" s="25"/>
      <c r="AB114" s="25"/>
      <c r="AC114" s="25"/>
      <c r="AD114" s="25"/>
      <c r="AE114" s="25"/>
      <c r="AF114" s="25"/>
      <c r="AG114" s="25"/>
      <c r="AH114" s="25"/>
      <c r="AI114" s="25"/>
      <c r="AJ114" s="25"/>
      <c r="AK114" s="25"/>
      <c r="AL114" s="25"/>
      <c r="AM114" s="25"/>
      <c r="AN114" s="25"/>
      <c r="AO114" s="25"/>
      <c r="AP114" s="25"/>
    </row>
    <row r="115" spans="1:42" ht="15">
      <c r="A115" s="403" t="s">
        <v>552</v>
      </c>
      <c r="B115" s="404"/>
      <c r="C115" s="50">
        <f t="shared" ref="C115:Z115" si="41">$B$111*C8</f>
        <v>0</v>
      </c>
      <c r="D115" s="52">
        <f t="shared" si="41"/>
        <v>0</v>
      </c>
      <c r="E115" s="52">
        <f t="shared" si="41"/>
        <v>0</v>
      </c>
      <c r="F115" s="51">
        <f t="shared" si="41"/>
        <v>0</v>
      </c>
      <c r="G115" s="50">
        <f t="shared" si="41"/>
        <v>650250</v>
      </c>
      <c r="H115" s="52">
        <f t="shared" si="41"/>
        <v>650250</v>
      </c>
      <c r="I115" s="52">
        <f t="shared" si="41"/>
        <v>650250</v>
      </c>
      <c r="J115" s="51">
        <f t="shared" si="41"/>
        <v>650250</v>
      </c>
      <c r="K115" s="50">
        <f t="shared" si="41"/>
        <v>679511.25</v>
      </c>
      <c r="L115" s="52">
        <f t="shared" si="41"/>
        <v>679511.25</v>
      </c>
      <c r="M115" s="52">
        <f t="shared" si="41"/>
        <v>679511.25</v>
      </c>
      <c r="N115" s="51">
        <f t="shared" si="41"/>
        <v>679511.25</v>
      </c>
      <c r="O115" s="50">
        <f t="shared" si="41"/>
        <v>710089.25624999998</v>
      </c>
      <c r="P115" s="52">
        <f t="shared" si="41"/>
        <v>710089.25624999998</v>
      </c>
      <c r="Q115" s="52">
        <f t="shared" si="41"/>
        <v>710089.25624999998</v>
      </c>
      <c r="R115" s="51">
        <f t="shared" si="41"/>
        <v>710089.25624999998</v>
      </c>
      <c r="S115" s="50">
        <f t="shared" si="41"/>
        <v>742043.27278124995</v>
      </c>
      <c r="T115" s="52">
        <f t="shared" si="41"/>
        <v>742043.27278124995</v>
      </c>
      <c r="U115" s="52">
        <f t="shared" si="41"/>
        <v>742043.27278124995</v>
      </c>
      <c r="V115" s="51">
        <f t="shared" si="41"/>
        <v>742043.27278124995</v>
      </c>
      <c r="W115" s="50">
        <f t="shared" si="41"/>
        <v>775435.22005640611</v>
      </c>
      <c r="X115" s="52">
        <f t="shared" si="41"/>
        <v>775435.22005640611</v>
      </c>
      <c r="Y115" s="52">
        <f t="shared" si="41"/>
        <v>775435.22005640611</v>
      </c>
      <c r="Z115" s="51">
        <f t="shared" si="41"/>
        <v>775435.22005640611</v>
      </c>
      <c r="AA115" s="50"/>
      <c r="AB115" s="52"/>
      <c r="AC115" s="52"/>
      <c r="AD115" s="51"/>
      <c r="AE115" s="50"/>
      <c r="AF115" s="52"/>
      <c r="AG115" s="52"/>
      <c r="AH115" s="51"/>
      <c r="AI115" s="50"/>
      <c r="AJ115" s="52"/>
      <c r="AK115" s="52"/>
      <c r="AL115" s="51"/>
      <c r="AM115" s="50"/>
      <c r="AN115" s="52"/>
      <c r="AO115" s="52"/>
      <c r="AP115" s="51"/>
    </row>
    <row r="116" spans="1:42" ht="15" thickBot="1">
      <c r="A116" s="405" t="s">
        <v>526</v>
      </c>
      <c r="B116" s="385"/>
      <c r="F116" s="42">
        <f>SUM(C115:F115)</f>
        <v>0</v>
      </c>
      <c r="J116" s="42">
        <f>SUM(G115:J115)</f>
        <v>2601000</v>
      </c>
      <c r="N116" s="42">
        <f>SUM(K115:N115)</f>
        <v>2718045</v>
      </c>
      <c r="R116" s="42">
        <f>SUM(O115:R115)</f>
        <v>2840357.0249999999</v>
      </c>
      <c r="V116" s="42">
        <f>SUM(S115:V115)</f>
        <v>2968173.0911249998</v>
      </c>
      <c r="Z116" s="42">
        <f>SUM(W115:Z115)</f>
        <v>3101740.8802256244</v>
      </c>
      <c r="AA116">
        <f>W116*(1+Assumptions!$B$32)</f>
        <v>0</v>
      </c>
      <c r="AB116">
        <f>X116*(1+Assumptions!$B$32)</f>
        <v>0</v>
      </c>
      <c r="AC116">
        <f>Y116*(1+Assumptions!$B$32)</f>
        <v>0</v>
      </c>
      <c r="AD116" s="42">
        <f>Z116*(1+Assumptions!$B$32)</f>
        <v>3194793.1066323933</v>
      </c>
      <c r="AE116">
        <f>AA116*(1+Assumptions!$B$32)</f>
        <v>0</v>
      </c>
      <c r="AF116">
        <f>AB116*(1+Assumptions!$B$32)</f>
        <v>0</v>
      </c>
      <c r="AG116">
        <f>AC116*(1+Assumptions!$B$32)</f>
        <v>0</v>
      </c>
      <c r="AH116" s="42">
        <f>AD116*(1+Assumptions!$B$32)</f>
        <v>3290636.8998313653</v>
      </c>
      <c r="AI116">
        <f>AE116*(1+Assumptions!$B$32)</f>
        <v>0</v>
      </c>
      <c r="AJ116">
        <f>AF116*(1+Assumptions!$B$32)</f>
        <v>0</v>
      </c>
      <c r="AK116">
        <f>AG116*(1+Assumptions!$B$32)</f>
        <v>0</v>
      </c>
      <c r="AL116" s="42">
        <f>AH116*(1+Assumptions!$B$32)</f>
        <v>3389356.0068263062</v>
      </c>
      <c r="AM116">
        <f>AI116*(1+Assumptions!$B$32)</f>
        <v>0</v>
      </c>
      <c r="AN116">
        <f>AJ116*(1+Assumptions!$B$32)</f>
        <v>0</v>
      </c>
      <c r="AO116">
        <f>AK116*(1+Assumptions!$B$32)</f>
        <v>0</v>
      </c>
      <c r="AP116" s="42">
        <f>AL116*(1+Assumptions!$B$32)</f>
        <v>3491036.6870310954</v>
      </c>
    </row>
    <row r="118" spans="1:42">
      <c r="A118" s="23" t="s">
        <v>553</v>
      </c>
      <c r="B118" s="23"/>
    </row>
    <row r="119" spans="1:42">
      <c r="A119" t="s">
        <v>554</v>
      </c>
      <c r="B119" s="10">
        <f>staff!C12*3</f>
        <v>54000</v>
      </c>
    </row>
    <row r="120" spans="1:42">
      <c r="A120" t="s">
        <v>555</v>
      </c>
      <c r="B120" s="10">
        <f>staff!D13</f>
        <v>24000</v>
      </c>
    </row>
    <row r="121" spans="1:42" ht="15">
      <c r="A121" s="11" t="s">
        <v>556</v>
      </c>
      <c r="B121" s="81">
        <v>7.0000000000000007E-2</v>
      </c>
    </row>
    <row r="122" spans="1:42">
      <c r="C122" s="382">
        <v>2026</v>
      </c>
      <c r="D122" s="383"/>
      <c r="E122" s="383"/>
      <c r="F122" s="384"/>
      <c r="G122" s="382">
        <v>2027</v>
      </c>
      <c r="H122" s="383"/>
      <c r="I122" s="383"/>
      <c r="J122" s="384"/>
      <c r="K122" s="382">
        <v>2028</v>
      </c>
      <c r="L122" s="383"/>
      <c r="M122" s="383"/>
      <c r="N122" s="384"/>
      <c r="O122" s="382">
        <v>2029</v>
      </c>
      <c r="P122" s="383"/>
      <c r="Q122" s="383"/>
      <c r="R122" s="384"/>
      <c r="S122" s="382">
        <v>2030</v>
      </c>
      <c r="T122" s="383"/>
      <c r="U122" s="383"/>
      <c r="V122" s="384"/>
      <c r="W122" s="382">
        <v>2030</v>
      </c>
      <c r="X122" s="383"/>
      <c r="Y122" s="383"/>
      <c r="Z122" s="384"/>
      <c r="AA122" s="382"/>
      <c r="AB122" s="383"/>
      <c r="AC122" s="383"/>
      <c r="AD122" s="384"/>
      <c r="AE122" s="382"/>
      <c r="AF122" s="383"/>
      <c r="AG122" s="383"/>
      <c r="AH122" s="384"/>
      <c r="AI122" s="382"/>
      <c r="AJ122" s="383"/>
      <c r="AK122" s="383"/>
      <c r="AL122" s="384"/>
      <c r="AM122" s="382"/>
      <c r="AN122" s="383"/>
      <c r="AO122" s="383"/>
      <c r="AP122" s="384"/>
    </row>
    <row r="123" spans="1:42">
      <c r="C123" s="25" t="s">
        <v>497</v>
      </c>
      <c r="D123" s="25" t="s">
        <v>498</v>
      </c>
      <c r="E123" s="25" t="s">
        <v>499</v>
      </c>
      <c r="F123" s="25" t="s">
        <v>500</v>
      </c>
      <c r="G123" s="25" t="s">
        <v>497</v>
      </c>
      <c r="H123" s="25" t="s">
        <v>498</v>
      </c>
      <c r="I123" s="25" t="s">
        <v>499</v>
      </c>
      <c r="J123" s="25" t="s">
        <v>500</v>
      </c>
      <c r="K123" s="25" t="s">
        <v>497</v>
      </c>
      <c r="L123" s="25" t="s">
        <v>498</v>
      </c>
      <c r="M123" s="25" t="s">
        <v>499</v>
      </c>
      <c r="N123" s="25" t="s">
        <v>500</v>
      </c>
      <c r="O123" s="25" t="s">
        <v>497</v>
      </c>
      <c r="P123" s="25" t="s">
        <v>498</v>
      </c>
      <c r="Q123" s="25" t="s">
        <v>499</v>
      </c>
      <c r="R123" s="25" t="s">
        <v>500</v>
      </c>
      <c r="S123" s="25" t="s">
        <v>497</v>
      </c>
      <c r="T123" s="25" t="s">
        <v>498</v>
      </c>
      <c r="U123" s="25" t="s">
        <v>499</v>
      </c>
      <c r="V123" s="25" t="s">
        <v>500</v>
      </c>
      <c r="W123" s="25" t="s">
        <v>497</v>
      </c>
      <c r="X123" s="25" t="s">
        <v>498</v>
      </c>
      <c r="Y123" s="25" t="s">
        <v>499</v>
      </c>
      <c r="Z123" s="25" t="s">
        <v>500</v>
      </c>
      <c r="AA123" s="25"/>
      <c r="AB123" s="25"/>
      <c r="AC123" s="25"/>
      <c r="AD123" s="25"/>
      <c r="AE123" s="25"/>
      <c r="AF123" s="25"/>
      <c r="AG123" s="25"/>
      <c r="AH123" s="25"/>
      <c r="AI123" s="25"/>
      <c r="AJ123" s="25"/>
      <c r="AK123" s="25"/>
      <c r="AL123" s="25"/>
      <c r="AM123" s="25"/>
      <c r="AN123" s="25"/>
      <c r="AO123" s="25"/>
      <c r="AP123" s="25"/>
    </row>
    <row r="124" spans="1:42" ht="15">
      <c r="A124" s="403" t="s">
        <v>557</v>
      </c>
      <c r="B124" s="404"/>
      <c r="C124" s="50">
        <f>SUM($B$119)*3</f>
        <v>162000</v>
      </c>
      <c r="D124" s="50">
        <f>SUM($B$119)*3</f>
        <v>162000</v>
      </c>
      <c r="E124" s="50">
        <f>SUM($B$119)*3</f>
        <v>162000</v>
      </c>
      <c r="F124" s="50">
        <f>SUM($B$119)*3</f>
        <v>162000</v>
      </c>
      <c r="G124" s="50">
        <f>((B119+B120)*3)*(1+$B$121)</f>
        <v>250380</v>
      </c>
      <c r="H124" s="52">
        <f>G124</f>
        <v>250380</v>
      </c>
      <c r="I124" s="52">
        <f t="shared" ref="I124:J124" si="42">H124</f>
        <v>250380</v>
      </c>
      <c r="J124" s="52">
        <f t="shared" si="42"/>
        <v>250380</v>
      </c>
      <c r="K124" s="50">
        <f>J124*(1+$B$121)</f>
        <v>267906.60000000003</v>
      </c>
      <c r="L124" s="52">
        <f>K124</f>
        <v>267906.60000000003</v>
      </c>
      <c r="M124" s="52">
        <f t="shared" ref="M124:N124" si="43">L124</f>
        <v>267906.60000000003</v>
      </c>
      <c r="N124" s="52">
        <f t="shared" si="43"/>
        <v>267906.60000000003</v>
      </c>
      <c r="O124" s="50">
        <f>N124*(1+$B$121)</f>
        <v>286660.06200000003</v>
      </c>
      <c r="P124" s="52">
        <f>O124</f>
        <v>286660.06200000003</v>
      </c>
      <c r="Q124" s="52">
        <f t="shared" ref="Q124:R124" si="44">P124</f>
        <v>286660.06200000003</v>
      </c>
      <c r="R124" s="52">
        <f t="shared" si="44"/>
        <v>286660.06200000003</v>
      </c>
      <c r="S124" s="50">
        <f>R124*(1+$B$121)</f>
        <v>306726.26634000003</v>
      </c>
      <c r="T124" s="52">
        <f>S124</f>
        <v>306726.26634000003</v>
      </c>
      <c r="U124" s="52">
        <f t="shared" ref="U124:V124" si="45">T124</f>
        <v>306726.26634000003</v>
      </c>
      <c r="V124" s="52">
        <f t="shared" si="45"/>
        <v>306726.26634000003</v>
      </c>
      <c r="W124" s="50">
        <f>V124*(1+$B$121)</f>
        <v>328197.10498380003</v>
      </c>
      <c r="X124" s="52">
        <f>W124</f>
        <v>328197.10498380003</v>
      </c>
      <c r="Y124" s="52">
        <f t="shared" ref="Y124" si="46">X124</f>
        <v>328197.10498380003</v>
      </c>
      <c r="Z124" s="52">
        <f t="shared" ref="Z124" si="47">Y124</f>
        <v>328197.10498380003</v>
      </c>
      <c r="AA124" s="50"/>
      <c r="AB124" s="52"/>
      <c r="AC124" s="52"/>
      <c r="AD124" s="52"/>
      <c r="AE124" s="50"/>
      <c r="AF124" s="52"/>
      <c r="AG124" s="52"/>
      <c r="AH124" s="52"/>
      <c r="AI124" s="50"/>
      <c r="AJ124" s="52"/>
      <c r="AK124" s="52"/>
      <c r="AL124" s="52"/>
      <c r="AM124" s="50"/>
      <c r="AN124" s="52"/>
      <c r="AO124" s="52"/>
      <c r="AP124" s="52"/>
    </row>
    <row r="125" spans="1:42" ht="15" thickBot="1">
      <c r="A125" s="405" t="s">
        <v>526</v>
      </c>
      <c r="B125" s="385"/>
      <c r="F125" s="42">
        <f>SUM(C124:F124)</f>
        <v>648000</v>
      </c>
      <c r="J125" s="42">
        <f>SUM(G124:J124)</f>
        <v>1001520</v>
      </c>
      <c r="N125" s="42">
        <f>SUM(K124:N124)</f>
        <v>1071626.4000000001</v>
      </c>
      <c r="R125" s="42">
        <f>SUM(O124:R124)</f>
        <v>1146640.2480000001</v>
      </c>
      <c r="V125" s="42">
        <f>SUM(S124:V124)</f>
        <v>1226905.0653600001</v>
      </c>
      <c r="Z125" s="42">
        <f>SUM(W124:Z124)</f>
        <v>1312788.4199352001</v>
      </c>
      <c r="AA125">
        <f>W125*(1+Assumptions!$B$32)</f>
        <v>0</v>
      </c>
      <c r="AB125">
        <f>X125*(1+Assumptions!$B$32)</f>
        <v>0</v>
      </c>
      <c r="AC125">
        <f>Y125*(1+Assumptions!$B$32)</f>
        <v>0</v>
      </c>
      <c r="AD125" s="42">
        <f>Z125*(1+Assumptions!$B$32)</f>
        <v>1352172.0725332561</v>
      </c>
      <c r="AE125">
        <f>AA125*(1+Assumptions!$B$32)</f>
        <v>0</v>
      </c>
      <c r="AF125">
        <f>AB125*(1+Assumptions!$B$32)</f>
        <v>0</v>
      </c>
      <c r="AG125">
        <f>AC125*(1+Assumptions!$B$32)</f>
        <v>0</v>
      </c>
      <c r="AH125" s="42">
        <f>AD125*(1+Assumptions!$B$32)</f>
        <v>1392737.2347092538</v>
      </c>
      <c r="AI125">
        <f>AE125*(1+Assumptions!$B$32)</f>
        <v>0</v>
      </c>
      <c r="AJ125">
        <f>AF125*(1+Assumptions!$B$32)</f>
        <v>0</v>
      </c>
      <c r="AK125">
        <f>AG125*(1+Assumptions!$B$32)</f>
        <v>0</v>
      </c>
      <c r="AL125" s="42">
        <f>AH125*(1+Assumptions!$B$32)</f>
        <v>1434519.3517505315</v>
      </c>
      <c r="AM125">
        <f>AI125*(1+Assumptions!$B$32)</f>
        <v>0</v>
      </c>
      <c r="AN125">
        <f>AJ125*(1+Assumptions!$B$32)</f>
        <v>0</v>
      </c>
      <c r="AO125">
        <f>AK125*(1+Assumptions!$B$32)</f>
        <v>0</v>
      </c>
      <c r="AP125" s="42">
        <f>AL125*(1+Assumptions!$B$32)</f>
        <v>1477554.9323030475</v>
      </c>
    </row>
    <row r="127" spans="1:42">
      <c r="A127" s="23" t="s">
        <v>558</v>
      </c>
    </row>
    <row r="129" spans="1:42">
      <c r="C129" s="382">
        <v>2026</v>
      </c>
      <c r="D129" s="383"/>
      <c r="E129" s="383"/>
      <c r="F129" s="384"/>
      <c r="G129" s="382">
        <v>2027</v>
      </c>
      <c r="H129" s="383"/>
      <c r="I129" s="383"/>
      <c r="J129" s="384"/>
      <c r="K129" s="382">
        <v>2028</v>
      </c>
      <c r="L129" s="383"/>
      <c r="M129" s="383"/>
      <c r="N129" s="384"/>
      <c r="O129" s="382">
        <v>2029</v>
      </c>
      <c r="P129" s="383"/>
      <c r="Q129" s="383"/>
      <c r="R129" s="384"/>
      <c r="S129" s="382">
        <v>2030</v>
      </c>
      <c r="T129" s="383"/>
      <c r="U129" s="383"/>
      <c r="V129" s="384"/>
      <c r="W129" s="382">
        <v>2030</v>
      </c>
      <c r="X129" s="383"/>
      <c r="Y129" s="383"/>
      <c r="Z129" s="384"/>
      <c r="AA129" s="382"/>
      <c r="AB129" s="383"/>
      <c r="AC129" s="383"/>
      <c r="AD129" s="384"/>
      <c r="AE129" s="382"/>
      <c r="AF129" s="383"/>
      <c r="AG129" s="383"/>
      <c r="AH129" s="384"/>
      <c r="AI129" s="382"/>
      <c r="AJ129" s="383"/>
      <c r="AK129" s="383"/>
      <c r="AL129" s="384"/>
      <c r="AM129" s="382"/>
      <c r="AN129" s="383"/>
      <c r="AO129" s="383"/>
      <c r="AP129" s="384"/>
    </row>
    <row r="130" spans="1:42">
      <c r="C130" s="25" t="s">
        <v>497</v>
      </c>
      <c r="D130" s="25" t="s">
        <v>498</v>
      </c>
      <c r="E130" s="25" t="s">
        <v>499</v>
      </c>
      <c r="F130" s="25" t="s">
        <v>500</v>
      </c>
      <c r="G130" s="25" t="s">
        <v>497</v>
      </c>
      <c r="H130" s="25" t="s">
        <v>498</v>
      </c>
      <c r="I130" s="25" t="s">
        <v>499</v>
      </c>
      <c r="J130" s="25" t="s">
        <v>500</v>
      </c>
      <c r="K130" s="25" t="s">
        <v>497</v>
      </c>
      <c r="L130" s="25" t="s">
        <v>498</v>
      </c>
      <c r="M130" s="25" t="s">
        <v>499</v>
      </c>
      <c r="N130" s="25" t="s">
        <v>500</v>
      </c>
      <c r="O130" s="25" t="s">
        <v>497</v>
      </c>
      <c r="P130" s="25" t="s">
        <v>498</v>
      </c>
      <c r="Q130" s="25" t="s">
        <v>499</v>
      </c>
      <c r="R130" s="25" t="s">
        <v>500</v>
      </c>
      <c r="S130" s="25" t="s">
        <v>497</v>
      </c>
      <c r="T130" s="25" t="s">
        <v>498</v>
      </c>
      <c r="U130" s="25" t="s">
        <v>499</v>
      </c>
      <c r="V130" s="25" t="s">
        <v>500</v>
      </c>
      <c r="W130" s="25" t="s">
        <v>497</v>
      </c>
      <c r="X130" s="25" t="s">
        <v>498</v>
      </c>
      <c r="Y130" s="25" t="s">
        <v>499</v>
      </c>
      <c r="Z130" s="25" t="s">
        <v>500</v>
      </c>
      <c r="AA130" s="25"/>
      <c r="AB130" s="25"/>
      <c r="AC130" s="25"/>
      <c r="AD130" s="25"/>
      <c r="AE130" s="25"/>
      <c r="AF130" s="25"/>
      <c r="AG130" s="25"/>
      <c r="AH130" s="25"/>
      <c r="AI130" s="25"/>
      <c r="AJ130" s="25"/>
      <c r="AK130" s="25"/>
      <c r="AL130" s="25"/>
      <c r="AM130" s="25"/>
      <c r="AN130" s="25"/>
      <c r="AO130" s="25"/>
      <c r="AP130" s="25"/>
    </row>
    <row r="131" spans="1:42" ht="15">
      <c r="A131" s="91" t="s">
        <v>559</v>
      </c>
      <c r="B131" s="92"/>
      <c r="C131" s="50"/>
      <c r="D131" s="50"/>
      <c r="E131" s="50"/>
      <c r="F131" s="50"/>
      <c r="G131" s="50">
        <f>Financing!F18</f>
        <v>375000</v>
      </c>
      <c r="H131" s="50">
        <f>Financing!G18</f>
        <v>375000</v>
      </c>
      <c r="I131" s="50">
        <f>Financing!H18</f>
        <v>375000</v>
      </c>
      <c r="J131" s="50">
        <f>Financing!I18</f>
        <v>375000</v>
      </c>
      <c r="K131" s="50">
        <f>Financing!J18</f>
        <v>375000</v>
      </c>
      <c r="L131" s="50">
        <f>Financing!K18</f>
        <v>375000</v>
      </c>
      <c r="M131" s="50">
        <f>Financing!L18</f>
        <v>375000</v>
      </c>
      <c r="N131" s="50">
        <f>Financing!M18</f>
        <v>375000</v>
      </c>
      <c r="O131" s="50">
        <f>Financing!N18</f>
        <v>375000</v>
      </c>
      <c r="P131" s="50">
        <f>Financing!O18</f>
        <v>375000</v>
      </c>
      <c r="Q131" s="50">
        <f>Financing!P18</f>
        <v>375000</v>
      </c>
      <c r="R131" s="50">
        <f>Financing!Q18</f>
        <v>375000</v>
      </c>
      <c r="S131" s="50">
        <f>Financing!R18</f>
        <v>375000</v>
      </c>
      <c r="T131" s="50">
        <f>Financing!S18</f>
        <v>375000</v>
      </c>
      <c r="U131" s="50">
        <f>Financing!T18</f>
        <v>375000</v>
      </c>
      <c r="V131" s="50">
        <f>Financing!U18</f>
        <v>375000</v>
      </c>
      <c r="W131" s="50">
        <f>Financing!V18</f>
        <v>375000</v>
      </c>
      <c r="X131" s="50">
        <f>Financing!W18</f>
        <v>375000</v>
      </c>
      <c r="Y131" s="50">
        <f>Financing!X18</f>
        <v>375000</v>
      </c>
      <c r="Z131" s="50">
        <f>Financing!Y18</f>
        <v>375000</v>
      </c>
      <c r="AA131" s="50"/>
      <c r="AB131" s="50"/>
      <c r="AC131" s="50"/>
      <c r="AD131" s="50"/>
      <c r="AE131" s="50"/>
      <c r="AF131" s="50"/>
      <c r="AG131" s="50"/>
      <c r="AH131" s="50"/>
      <c r="AI131" s="50"/>
      <c r="AJ131" s="50"/>
      <c r="AK131" s="50"/>
      <c r="AL131" s="50"/>
      <c r="AM131" s="50"/>
      <c r="AN131" s="50"/>
      <c r="AO131" s="50"/>
      <c r="AP131" s="50"/>
    </row>
    <row r="132" spans="1:42" ht="15" thickBot="1">
      <c r="A132" s="93" t="s">
        <v>526</v>
      </c>
      <c r="B132" s="53"/>
      <c r="F132" s="42"/>
      <c r="J132" s="42">
        <f>SUM(G131:J131)</f>
        <v>1500000</v>
      </c>
      <c r="N132" s="42">
        <f>SUM(K131:N131)</f>
        <v>1500000</v>
      </c>
      <c r="R132" s="42">
        <f>SUM(O131:R131)</f>
        <v>1500000</v>
      </c>
      <c r="V132" s="42">
        <f>SUM(S131:V131)</f>
        <v>1500000</v>
      </c>
      <c r="Z132" s="42">
        <f>SUM(W131:Z131)</f>
        <v>1500000</v>
      </c>
      <c r="AD132" s="42"/>
      <c r="AH132" s="42"/>
      <c r="AL132" s="42"/>
      <c r="AP132" s="42"/>
    </row>
    <row r="135" spans="1:42">
      <c r="C135" s="13"/>
    </row>
    <row r="136" spans="1:42">
      <c r="B136" s="10"/>
      <c r="C136" s="13"/>
    </row>
    <row r="137" spans="1:42">
      <c r="B137" s="10"/>
    </row>
    <row r="138" spans="1:42">
      <c r="B138" s="10"/>
      <c r="C138" s="13"/>
    </row>
  </sheetData>
  <mergeCells count="160">
    <mergeCell ref="AI105:AL105"/>
    <mergeCell ref="AI113:AL113"/>
    <mergeCell ref="AI122:AL122"/>
    <mergeCell ref="AI129:AL129"/>
    <mergeCell ref="AM1:AP1"/>
    <mergeCell ref="AM12:AP12"/>
    <mergeCell ref="AM23:AP23"/>
    <mergeCell ref="AM37:AP37"/>
    <mergeCell ref="AM53:AP53"/>
    <mergeCell ref="AM68:AP68"/>
    <mergeCell ref="AM77:AP77"/>
    <mergeCell ref="AM86:AP86"/>
    <mergeCell ref="AM97:AP97"/>
    <mergeCell ref="AM105:AP105"/>
    <mergeCell ref="AM113:AP113"/>
    <mergeCell ref="AM122:AP122"/>
    <mergeCell ref="AM129:AP129"/>
    <mergeCell ref="AI1:AL1"/>
    <mergeCell ref="AI12:AL12"/>
    <mergeCell ref="AI23:AL23"/>
    <mergeCell ref="AI37:AL37"/>
    <mergeCell ref="AI53:AL53"/>
    <mergeCell ref="AI68:AL68"/>
    <mergeCell ref="AI77:AL77"/>
    <mergeCell ref="AI86:AL86"/>
    <mergeCell ref="AI97:AL97"/>
    <mergeCell ref="AA105:AD105"/>
    <mergeCell ref="AA113:AD113"/>
    <mergeCell ref="AA122:AD122"/>
    <mergeCell ref="AA129:AD129"/>
    <mergeCell ref="AE1:AH1"/>
    <mergeCell ref="AE12:AH12"/>
    <mergeCell ref="AE23:AH23"/>
    <mergeCell ref="AE37:AH37"/>
    <mergeCell ref="AE53:AH53"/>
    <mergeCell ref="AE68:AH68"/>
    <mergeCell ref="AE77:AH77"/>
    <mergeCell ref="AE86:AH86"/>
    <mergeCell ref="AE97:AH97"/>
    <mergeCell ref="AE105:AH105"/>
    <mergeCell ref="AE113:AH113"/>
    <mergeCell ref="AE122:AH122"/>
    <mergeCell ref="AE129:AH129"/>
    <mergeCell ref="AA1:AD1"/>
    <mergeCell ref="AA12:AD12"/>
    <mergeCell ref="AA23:AD23"/>
    <mergeCell ref="AA37:AD37"/>
    <mergeCell ref="AA53:AD53"/>
    <mergeCell ref="AA68:AD68"/>
    <mergeCell ref="AA77:AD77"/>
    <mergeCell ref="AA86:AD86"/>
    <mergeCell ref="AA97:AD97"/>
    <mergeCell ref="C129:F129"/>
    <mergeCell ref="G129:J129"/>
    <mergeCell ref="K129:N129"/>
    <mergeCell ref="O129:R129"/>
    <mergeCell ref="S129:V129"/>
    <mergeCell ref="S68:V68"/>
    <mergeCell ref="S77:V77"/>
    <mergeCell ref="S86:V86"/>
    <mergeCell ref="S97:V97"/>
    <mergeCell ref="C105:F105"/>
    <mergeCell ref="G105:J105"/>
    <mergeCell ref="K105:N105"/>
    <mergeCell ref="O105:R105"/>
    <mergeCell ref="S105:V105"/>
    <mergeCell ref="K68:N68"/>
    <mergeCell ref="K77:N77"/>
    <mergeCell ref="K86:N86"/>
    <mergeCell ref="K97:N97"/>
    <mergeCell ref="O97:R97"/>
    <mergeCell ref="O77:R77"/>
    <mergeCell ref="O68:R68"/>
    <mergeCell ref="G77:J77"/>
    <mergeCell ref="C68:F68"/>
    <mergeCell ref="G68:J68"/>
    <mergeCell ref="A26:B26"/>
    <mergeCell ref="A55:B55"/>
    <mergeCell ref="A40:B40"/>
    <mergeCell ref="A39:B39"/>
    <mergeCell ref="A71:B71"/>
    <mergeCell ref="C77:F77"/>
    <mergeCell ref="A56:B56"/>
    <mergeCell ref="A70:B70"/>
    <mergeCell ref="A25:B25"/>
    <mergeCell ref="O53:R53"/>
    <mergeCell ref="S53:V53"/>
    <mergeCell ref="O37:R37"/>
    <mergeCell ref="S37:V37"/>
    <mergeCell ref="C23:F23"/>
    <mergeCell ref="G23:J23"/>
    <mergeCell ref="K23:N23"/>
    <mergeCell ref="O23:R23"/>
    <mergeCell ref="S23:V23"/>
    <mergeCell ref="C37:F37"/>
    <mergeCell ref="G37:J37"/>
    <mergeCell ref="K37:N37"/>
    <mergeCell ref="C53:F53"/>
    <mergeCell ref="K53:N53"/>
    <mergeCell ref="G53:J53"/>
    <mergeCell ref="O1:R1"/>
    <mergeCell ref="S1:V1"/>
    <mergeCell ref="K12:N12"/>
    <mergeCell ref="A5:B5"/>
    <mergeCell ref="A6:B6"/>
    <mergeCell ref="A7:B7"/>
    <mergeCell ref="A8:B8"/>
    <mergeCell ref="A10:B10"/>
    <mergeCell ref="A9:B9"/>
    <mergeCell ref="A3:B3"/>
    <mergeCell ref="O12:R12"/>
    <mergeCell ref="S12:V12"/>
    <mergeCell ref="C12:F12"/>
    <mergeCell ref="C1:F1"/>
    <mergeCell ref="G1:J1"/>
    <mergeCell ref="K1:N1"/>
    <mergeCell ref="G12:J12"/>
    <mergeCell ref="A11:B11"/>
    <mergeCell ref="A4:B4"/>
    <mergeCell ref="S122:V122"/>
    <mergeCell ref="A124:B124"/>
    <mergeCell ref="A125:B125"/>
    <mergeCell ref="A88:B88"/>
    <mergeCell ref="A99:B99"/>
    <mergeCell ref="A100:B100"/>
    <mergeCell ref="A89:B89"/>
    <mergeCell ref="K113:N113"/>
    <mergeCell ref="O113:R113"/>
    <mergeCell ref="S113:V113"/>
    <mergeCell ref="A115:B115"/>
    <mergeCell ref="A116:B116"/>
    <mergeCell ref="A107:B107"/>
    <mergeCell ref="A108:B108"/>
    <mergeCell ref="C113:F113"/>
    <mergeCell ref="G113:J113"/>
    <mergeCell ref="O86:R86"/>
    <mergeCell ref="A79:B79"/>
    <mergeCell ref="A80:B80"/>
    <mergeCell ref="C122:F122"/>
    <mergeCell ref="G122:J122"/>
    <mergeCell ref="K122:N122"/>
    <mergeCell ref="O122:R122"/>
    <mergeCell ref="G97:J97"/>
    <mergeCell ref="G86:J86"/>
    <mergeCell ref="C86:F86"/>
    <mergeCell ref="C97:F97"/>
    <mergeCell ref="A81:B81"/>
    <mergeCell ref="W113:Z113"/>
    <mergeCell ref="W122:Z122"/>
    <mergeCell ref="W129:Z129"/>
    <mergeCell ref="W68:Z68"/>
    <mergeCell ref="W77:Z77"/>
    <mergeCell ref="W86:Z86"/>
    <mergeCell ref="W97:Z97"/>
    <mergeCell ref="W105:Z105"/>
    <mergeCell ref="W1:Z1"/>
    <mergeCell ref="W12:Z12"/>
    <mergeCell ref="W23:Z23"/>
    <mergeCell ref="W37:Z37"/>
    <mergeCell ref="W53:Z53"/>
  </mergeCells>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usz9"/>
  <dimension ref="A1:AO26"/>
  <sheetViews>
    <sheetView showGridLines="0" zoomScale="110" zoomScaleNormal="110" workbookViewId="0">
      <selection activeCell="O30" sqref="O30"/>
    </sheetView>
  </sheetViews>
  <sheetFormatPr defaultRowHeight="14.25"/>
  <cols>
    <col min="1" max="1" width="38.25" bestFit="1" customWidth="1"/>
    <col min="2" max="2" width="15.75" bestFit="1" customWidth="1"/>
    <col min="3" max="4" width="11.125" bestFit="1" customWidth="1"/>
    <col min="5" max="5" width="15.75" bestFit="1" customWidth="1"/>
    <col min="6" max="8" width="11.125" bestFit="1" customWidth="1"/>
    <col min="9" max="9" width="11.625" bestFit="1" customWidth="1"/>
    <col min="10" max="16" width="11.125" bestFit="1" customWidth="1"/>
    <col min="17" max="17" width="12.25" bestFit="1" customWidth="1"/>
    <col min="18" max="41" width="11.125" bestFit="1" customWidth="1"/>
  </cols>
  <sheetData>
    <row r="1" spans="1:41">
      <c r="A1" s="59" t="s">
        <v>560</v>
      </c>
      <c r="B1" s="72" t="s">
        <v>561</v>
      </c>
      <c r="C1" s="72">
        <v>2027</v>
      </c>
      <c r="D1" s="72" t="s">
        <v>562</v>
      </c>
      <c r="E1" s="72" t="s">
        <v>563</v>
      </c>
      <c r="I1" s="1"/>
      <c r="Q1" s="9"/>
      <c r="R1" s="1"/>
      <c r="S1" s="1"/>
      <c r="T1" s="1"/>
      <c r="U1" s="1"/>
      <c r="V1" s="1"/>
      <c r="W1" s="1"/>
      <c r="X1" s="1"/>
      <c r="Y1" s="1"/>
      <c r="Z1" s="1"/>
      <c r="AA1" s="1"/>
      <c r="AB1" s="1"/>
      <c r="AC1" s="1"/>
      <c r="AD1" s="1"/>
      <c r="AE1" s="1"/>
      <c r="AF1" s="1"/>
      <c r="AG1" s="1"/>
      <c r="AH1" s="1"/>
      <c r="AI1" s="1"/>
      <c r="AJ1" s="1"/>
      <c r="AK1" s="1"/>
      <c r="AL1" s="1"/>
      <c r="AM1" s="1"/>
      <c r="AN1" s="1"/>
      <c r="AO1" s="1"/>
    </row>
    <row r="2" spans="1:41">
      <c r="A2" s="67"/>
      <c r="B2" s="62"/>
      <c r="C2" s="70"/>
      <c r="D2" s="62"/>
      <c r="E2" s="65"/>
      <c r="I2" s="1"/>
    </row>
    <row r="3" spans="1:41">
      <c r="A3" s="71"/>
      <c r="B3" s="70"/>
      <c r="C3" s="70"/>
      <c r="D3" s="70"/>
      <c r="E3" s="58"/>
      <c r="G3" s="10"/>
      <c r="I3" s="1"/>
    </row>
    <row r="4" spans="1:41">
      <c r="A4" s="71"/>
      <c r="B4" s="70"/>
      <c r="C4" s="70"/>
      <c r="D4" s="70"/>
      <c r="E4" s="58"/>
      <c r="G4" s="10"/>
      <c r="I4" s="1"/>
    </row>
    <row r="5" spans="1:41">
      <c r="A5" s="60"/>
      <c r="B5" s="70"/>
      <c r="C5" s="70"/>
      <c r="D5" s="70"/>
      <c r="E5" s="58"/>
      <c r="G5" s="10"/>
      <c r="I5" s="1"/>
    </row>
    <row r="6" spans="1:41">
      <c r="A6" s="64"/>
      <c r="B6" s="69"/>
      <c r="C6" s="69"/>
      <c r="D6" s="69"/>
      <c r="E6" s="68"/>
      <c r="I6" s="1"/>
    </row>
    <row r="7" spans="1:41" ht="15">
      <c r="A7" s="66" t="s">
        <v>564</v>
      </c>
      <c r="B7" s="12">
        <f>SUM(B2:B6)</f>
        <v>0</v>
      </c>
      <c r="C7" s="12">
        <f>SUM(C2:C6)</f>
        <v>0</v>
      </c>
      <c r="D7" s="12">
        <f>SUM(D2:D6)</f>
        <v>0</v>
      </c>
      <c r="E7" s="12">
        <f t="shared" ref="E7" si="0">SUM(E2:E6)</f>
        <v>0</v>
      </c>
      <c r="I7" s="1"/>
    </row>
    <row r="8" spans="1:41" ht="15">
      <c r="A8" s="66"/>
      <c r="B8" s="11"/>
      <c r="C8" s="11"/>
      <c r="D8" s="11"/>
      <c r="E8" s="12">
        <v>0</v>
      </c>
      <c r="I8" s="1"/>
      <c r="P8" s="10"/>
    </row>
    <row r="9" spans="1:41">
      <c r="I9" s="1"/>
    </row>
    <row r="10" spans="1:41">
      <c r="B10" s="382">
        <v>2026</v>
      </c>
      <c r="C10" s="383"/>
      <c r="D10" s="383"/>
      <c r="E10" s="384"/>
      <c r="F10" s="382">
        <v>2027</v>
      </c>
      <c r="G10" s="383"/>
      <c r="H10" s="383"/>
      <c r="I10" s="384"/>
      <c r="J10" s="382">
        <v>2028</v>
      </c>
      <c r="K10" s="383"/>
      <c r="L10" s="383"/>
      <c r="M10" s="384"/>
      <c r="N10" s="382">
        <v>2029</v>
      </c>
      <c r="O10" s="383"/>
      <c r="P10" s="383"/>
      <c r="Q10" s="384"/>
      <c r="R10" s="382">
        <v>2030</v>
      </c>
      <c r="S10" s="383"/>
      <c r="T10" s="383"/>
      <c r="U10" s="384"/>
      <c r="V10" s="382">
        <v>2031</v>
      </c>
      <c r="W10" s="383"/>
      <c r="X10" s="383"/>
      <c r="Y10" s="384"/>
      <c r="Z10" s="382">
        <v>2032</v>
      </c>
      <c r="AA10" s="383"/>
      <c r="AB10" s="383"/>
      <c r="AC10" s="384"/>
      <c r="AD10" s="382">
        <v>2033</v>
      </c>
      <c r="AE10" s="383"/>
      <c r="AF10" s="383"/>
      <c r="AG10" s="384"/>
      <c r="AH10" s="382">
        <v>2034</v>
      </c>
      <c r="AI10" s="383"/>
      <c r="AJ10" s="383"/>
      <c r="AK10" s="384"/>
      <c r="AL10" s="382">
        <v>2035</v>
      </c>
      <c r="AM10" s="383"/>
      <c r="AN10" s="383"/>
      <c r="AO10" s="384"/>
    </row>
    <row r="11" spans="1:41">
      <c r="A11" s="59" t="s">
        <v>565</v>
      </c>
      <c r="B11" s="25" t="s">
        <v>497</v>
      </c>
      <c r="C11" s="25" t="s">
        <v>498</v>
      </c>
      <c r="D11" s="25" t="s">
        <v>499</v>
      </c>
      <c r="E11" s="25" t="s">
        <v>500</v>
      </c>
      <c r="F11" s="25" t="s">
        <v>497</v>
      </c>
      <c r="G11" s="25" t="s">
        <v>498</v>
      </c>
      <c r="H11" s="25" t="s">
        <v>499</v>
      </c>
      <c r="I11" s="25" t="s">
        <v>500</v>
      </c>
      <c r="J11" s="25" t="s">
        <v>497</v>
      </c>
      <c r="K11" s="25" t="s">
        <v>498</v>
      </c>
      <c r="L11" s="25" t="s">
        <v>499</v>
      </c>
      <c r="M11" s="25" t="s">
        <v>500</v>
      </c>
      <c r="N11" s="25" t="s">
        <v>497</v>
      </c>
      <c r="O11" s="25" t="s">
        <v>498</v>
      </c>
      <c r="P11" s="25" t="s">
        <v>499</v>
      </c>
      <c r="Q11" s="25" t="s">
        <v>500</v>
      </c>
      <c r="R11" s="25" t="s">
        <v>497</v>
      </c>
      <c r="S11" s="25" t="s">
        <v>498</v>
      </c>
      <c r="T11" s="25" t="s">
        <v>499</v>
      </c>
      <c r="U11" s="25" t="s">
        <v>500</v>
      </c>
      <c r="V11" s="25" t="s">
        <v>497</v>
      </c>
      <c r="W11" s="25" t="s">
        <v>498</v>
      </c>
      <c r="X11" s="25" t="s">
        <v>499</v>
      </c>
      <c r="Y11" s="25" t="s">
        <v>500</v>
      </c>
      <c r="Z11" s="25" t="s">
        <v>497</v>
      </c>
      <c r="AA11" s="25" t="s">
        <v>498</v>
      </c>
      <c r="AB11" s="25" t="s">
        <v>499</v>
      </c>
      <c r="AC11" s="25" t="s">
        <v>500</v>
      </c>
      <c r="AD11" s="25" t="s">
        <v>497</v>
      </c>
      <c r="AE11" s="25" t="s">
        <v>498</v>
      </c>
      <c r="AF11" s="25" t="s">
        <v>499</v>
      </c>
      <c r="AG11" s="25" t="s">
        <v>500</v>
      </c>
      <c r="AH11" s="25" t="s">
        <v>497</v>
      </c>
      <c r="AI11" s="25" t="s">
        <v>498</v>
      </c>
      <c r="AJ11" s="25" t="s">
        <v>499</v>
      </c>
      <c r="AK11" s="25" t="s">
        <v>500</v>
      </c>
      <c r="AL11" s="25" t="s">
        <v>497</v>
      </c>
      <c r="AM11" s="25" t="s">
        <v>498</v>
      </c>
      <c r="AN11" s="25" t="s">
        <v>499</v>
      </c>
      <c r="AO11" s="25" t="s">
        <v>500</v>
      </c>
    </row>
    <row r="12" spans="1:41">
      <c r="A12" s="54" t="s">
        <v>566</v>
      </c>
      <c r="B12" s="78"/>
      <c r="C12" s="78"/>
      <c r="D12" s="78"/>
      <c r="E12" s="78"/>
      <c r="F12" s="78">
        <f>Assumptions!$B$78/4</f>
        <v>85333333.333333328</v>
      </c>
      <c r="G12" s="78">
        <f t="shared" ref="G12:U12" si="1">F12</f>
        <v>85333333.333333328</v>
      </c>
      <c r="H12" s="78">
        <f t="shared" si="1"/>
        <v>85333333.333333328</v>
      </c>
      <c r="I12" s="78">
        <f t="shared" si="1"/>
        <v>85333333.333333328</v>
      </c>
      <c r="J12" s="78">
        <f t="shared" si="1"/>
        <v>85333333.333333328</v>
      </c>
      <c r="K12" s="78">
        <f t="shared" si="1"/>
        <v>85333333.333333328</v>
      </c>
      <c r="L12" s="78">
        <f t="shared" si="1"/>
        <v>85333333.333333328</v>
      </c>
      <c r="M12" s="78">
        <f t="shared" si="1"/>
        <v>85333333.333333328</v>
      </c>
      <c r="N12" s="78">
        <f t="shared" si="1"/>
        <v>85333333.333333328</v>
      </c>
      <c r="O12" s="78">
        <f t="shared" si="1"/>
        <v>85333333.333333328</v>
      </c>
      <c r="P12" s="78">
        <f t="shared" si="1"/>
        <v>85333333.333333328</v>
      </c>
      <c r="Q12" s="78">
        <f t="shared" si="1"/>
        <v>85333333.333333328</v>
      </c>
      <c r="R12" s="78">
        <f t="shared" si="1"/>
        <v>85333333.333333328</v>
      </c>
      <c r="S12" s="78">
        <f t="shared" si="1"/>
        <v>85333333.333333328</v>
      </c>
      <c r="T12" s="78">
        <f t="shared" si="1"/>
        <v>85333333.333333328</v>
      </c>
      <c r="U12" s="78">
        <f t="shared" si="1"/>
        <v>85333333.333333328</v>
      </c>
      <c r="V12" s="78">
        <f t="shared" ref="V12" si="2">U12</f>
        <v>85333333.333333328</v>
      </c>
      <c r="W12" s="78">
        <f t="shared" ref="W12" si="3">V12</f>
        <v>85333333.333333328</v>
      </c>
      <c r="X12" s="78">
        <f t="shared" ref="X12" si="4">W12</f>
        <v>85333333.333333328</v>
      </c>
      <c r="Y12" s="78">
        <f t="shared" ref="Y12" si="5">X12</f>
        <v>85333333.333333328</v>
      </c>
      <c r="Z12" s="78">
        <f>Y12</f>
        <v>85333333.333333328</v>
      </c>
      <c r="AA12" s="78">
        <f>Z12</f>
        <v>85333333.333333328</v>
      </c>
      <c r="AB12" s="78">
        <f>AA12</f>
        <v>85333333.333333328</v>
      </c>
      <c r="AC12" s="78">
        <f>AB12</f>
        <v>85333333.333333328</v>
      </c>
      <c r="AD12" s="78">
        <f>AC12</f>
        <v>85333333.333333328</v>
      </c>
      <c r="AE12" s="78">
        <f>AD12</f>
        <v>85333333.333333328</v>
      </c>
      <c r="AF12" s="78">
        <f>AE12</f>
        <v>85333333.333333328</v>
      </c>
      <c r="AG12" s="78">
        <f>AF12</f>
        <v>85333333.333333328</v>
      </c>
      <c r="AH12" s="78">
        <f>AG12</f>
        <v>85333333.333333328</v>
      </c>
      <c r="AI12" s="78">
        <f>AH12</f>
        <v>85333333.333333328</v>
      </c>
      <c r="AJ12" s="78">
        <f>AI12</f>
        <v>85333333.333333328</v>
      </c>
      <c r="AK12" s="78">
        <f>AJ12</f>
        <v>85333333.333333328</v>
      </c>
      <c r="AL12" s="78">
        <f>AK12</f>
        <v>85333333.333333328</v>
      </c>
      <c r="AM12" s="78">
        <f>AL12</f>
        <v>85333333.333333328</v>
      </c>
      <c r="AN12" s="78">
        <f>AM12</f>
        <v>85333333.333333328</v>
      </c>
      <c r="AO12" s="78">
        <f>AN12</f>
        <v>85333333.333333328</v>
      </c>
    </row>
    <row r="13" spans="1:41" ht="15" thickBot="1">
      <c r="A13" s="100" t="s">
        <v>567</v>
      </c>
      <c r="B13" s="57"/>
      <c r="C13" s="56"/>
      <c r="D13" s="56"/>
      <c r="E13" s="61"/>
      <c r="F13" s="57">
        <f t="shared" ref="F13:U13" si="6">SUM(F12:F12)</f>
        <v>85333333.333333328</v>
      </c>
      <c r="G13" s="56">
        <f t="shared" si="6"/>
        <v>85333333.333333328</v>
      </c>
      <c r="H13" s="56">
        <f t="shared" si="6"/>
        <v>85333333.333333328</v>
      </c>
      <c r="I13" s="61">
        <f t="shared" si="6"/>
        <v>85333333.333333328</v>
      </c>
      <c r="J13" s="57">
        <f t="shared" si="6"/>
        <v>85333333.333333328</v>
      </c>
      <c r="K13" s="56">
        <f t="shared" si="6"/>
        <v>85333333.333333328</v>
      </c>
      <c r="L13" s="56">
        <f t="shared" si="6"/>
        <v>85333333.333333328</v>
      </c>
      <c r="M13" s="61">
        <f t="shared" si="6"/>
        <v>85333333.333333328</v>
      </c>
      <c r="N13" s="57">
        <f t="shared" si="6"/>
        <v>85333333.333333328</v>
      </c>
      <c r="O13" s="56">
        <f t="shared" si="6"/>
        <v>85333333.333333328</v>
      </c>
      <c r="P13" s="56">
        <f t="shared" si="6"/>
        <v>85333333.333333328</v>
      </c>
      <c r="Q13" s="61">
        <f t="shared" si="6"/>
        <v>85333333.333333328</v>
      </c>
      <c r="R13" s="57">
        <f t="shared" si="6"/>
        <v>85333333.333333328</v>
      </c>
      <c r="S13" s="56">
        <f t="shared" si="6"/>
        <v>85333333.333333328</v>
      </c>
      <c r="T13" s="56">
        <f t="shared" si="6"/>
        <v>85333333.333333328</v>
      </c>
      <c r="U13" s="61">
        <f t="shared" si="6"/>
        <v>85333333.333333328</v>
      </c>
      <c r="V13" s="57">
        <f t="shared" ref="V13:Y13" si="7">SUM(V12:V12)</f>
        <v>85333333.333333328</v>
      </c>
      <c r="W13" s="56">
        <f t="shared" si="7"/>
        <v>85333333.333333328</v>
      </c>
      <c r="X13" s="56">
        <f t="shared" si="7"/>
        <v>85333333.333333328</v>
      </c>
      <c r="Y13" s="61">
        <f t="shared" si="7"/>
        <v>85333333.333333328</v>
      </c>
      <c r="Z13" s="57">
        <f>SUM(Z12:Z12)</f>
        <v>85333333.333333328</v>
      </c>
      <c r="AA13" s="56">
        <f>SUM(AA12:AA12)</f>
        <v>85333333.333333328</v>
      </c>
      <c r="AB13" s="56">
        <f>SUM(AB12:AB12)</f>
        <v>85333333.333333328</v>
      </c>
      <c r="AC13" s="61">
        <f>SUM(AC12:AC12)</f>
        <v>85333333.333333328</v>
      </c>
      <c r="AD13" s="57">
        <f>SUM(AD12:AD12)</f>
        <v>85333333.333333328</v>
      </c>
      <c r="AE13" s="56">
        <f>SUM(AE12:AE12)</f>
        <v>85333333.333333328</v>
      </c>
      <c r="AF13" s="56">
        <f>SUM(AF12:AF12)</f>
        <v>85333333.333333328</v>
      </c>
      <c r="AG13" s="61">
        <f>SUM(AG12:AG12)</f>
        <v>85333333.333333328</v>
      </c>
      <c r="AH13" s="57">
        <f>SUM(AH12:AH12)</f>
        <v>85333333.333333328</v>
      </c>
      <c r="AI13" s="56">
        <f>SUM(AI12:AI12)</f>
        <v>85333333.333333328</v>
      </c>
      <c r="AJ13" s="56">
        <f>SUM(AJ12:AJ12)</f>
        <v>85333333.333333328</v>
      </c>
      <c r="AK13" s="61">
        <f>SUM(AK12:AK12)</f>
        <v>85333333.333333328</v>
      </c>
      <c r="AL13" s="57">
        <f>SUM(AL12:AL12)</f>
        <v>85333333.333333328</v>
      </c>
      <c r="AM13" s="56">
        <f>SUM(AM12:AM12)</f>
        <v>85333333.333333328</v>
      </c>
      <c r="AN13" s="56">
        <f>SUM(AN12:AN12)</f>
        <v>85333333.333333328</v>
      </c>
      <c r="AO13" s="61">
        <f>SUM(AO12:AO12)</f>
        <v>85333333.333333328</v>
      </c>
    </row>
    <row r="14" spans="1:41" ht="15" thickBot="1">
      <c r="A14" s="100" t="s">
        <v>568</v>
      </c>
      <c r="E14" s="42"/>
      <c r="I14" s="63">
        <f>SUM(F12:I12)</f>
        <v>341333333.33333331</v>
      </c>
      <c r="M14" s="63">
        <f>SUM(J12:M12)</f>
        <v>341333333.33333331</v>
      </c>
      <c r="Q14" s="63">
        <f>SUM(N12:Q12)</f>
        <v>341333333.33333331</v>
      </c>
      <c r="U14" s="63">
        <f>SUM(R12:U12)</f>
        <v>341333333.33333331</v>
      </c>
      <c r="Y14" s="63">
        <f>SUM(V12:Y12)</f>
        <v>341333333.33333331</v>
      </c>
      <c r="AC14" s="63">
        <f>SUM(Z12:AC12)</f>
        <v>341333333.33333331</v>
      </c>
      <c r="AG14" s="63">
        <f>SUM(AD12:AG12)</f>
        <v>341333333.33333331</v>
      </c>
      <c r="AK14" s="63">
        <f>SUM(AH12:AK12)</f>
        <v>341333333.33333331</v>
      </c>
      <c r="AO14" s="63">
        <f>SUM(AL12:AO12)</f>
        <v>341333333.33333331</v>
      </c>
    </row>
    <row r="15" spans="1:41" ht="15" thickBot="1">
      <c r="A15" s="66" t="s">
        <v>569</v>
      </c>
      <c r="E15" s="63">
        <f>Leasing!B3-Financing!E14</f>
        <v>3072000000</v>
      </c>
      <c r="I15" s="42">
        <f>E15-I14</f>
        <v>2730666666.6666665</v>
      </c>
      <c r="M15" s="42">
        <f>I15-M14</f>
        <v>2389333333.333333</v>
      </c>
      <c r="Q15" s="42">
        <f>M15-Q14</f>
        <v>2047999999.9999998</v>
      </c>
      <c r="U15" s="42">
        <f>Q15-U14</f>
        <v>1706666666.6666665</v>
      </c>
      <c r="Y15" s="42">
        <f>U15-Y14</f>
        <v>1365333333.3333333</v>
      </c>
      <c r="AC15" s="42">
        <f>Y15-AC14</f>
        <v>1024000000</v>
      </c>
      <c r="AG15" s="42">
        <f>AC15-AG14</f>
        <v>682666666.66666675</v>
      </c>
      <c r="AK15" s="42">
        <f>AG15-AK14</f>
        <v>341333333.33333343</v>
      </c>
      <c r="AO15" s="42">
        <f>AK15-AO14</f>
        <v>0</v>
      </c>
    </row>
    <row r="17" spans="1:41" ht="15">
      <c r="A17" s="11"/>
      <c r="B17" s="382">
        <v>2026</v>
      </c>
      <c r="C17" s="383"/>
      <c r="D17" s="383"/>
      <c r="E17" s="384"/>
      <c r="F17" s="382">
        <v>2027</v>
      </c>
      <c r="G17" s="383"/>
      <c r="H17" s="383"/>
      <c r="I17" s="384"/>
      <c r="J17" s="382">
        <v>2028</v>
      </c>
      <c r="K17" s="383"/>
      <c r="L17" s="383"/>
      <c r="M17" s="384"/>
      <c r="N17" s="382">
        <v>2029</v>
      </c>
      <c r="O17" s="383"/>
      <c r="P17" s="383"/>
      <c r="Q17" s="384"/>
      <c r="R17" s="382">
        <v>2030</v>
      </c>
      <c r="S17" s="383"/>
      <c r="T17" s="383"/>
      <c r="U17" s="384"/>
      <c r="V17" s="382">
        <v>2031</v>
      </c>
      <c r="W17" s="383"/>
      <c r="X17" s="383"/>
      <c r="Y17" s="384"/>
      <c r="Z17" s="382">
        <v>2032</v>
      </c>
      <c r="AA17" s="383"/>
      <c r="AB17" s="383"/>
      <c r="AC17" s="384"/>
      <c r="AD17" s="382">
        <v>2033</v>
      </c>
      <c r="AE17" s="383"/>
      <c r="AF17" s="383"/>
      <c r="AG17" s="384"/>
      <c r="AH17" s="382">
        <v>2034</v>
      </c>
      <c r="AI17" s="383"/>
      <c r="AJ17" s="383"/>
      <c r="AK17" s="384"/>
      <c r="AL17" s="382">
        <v>2035</v>
      </c>
      <c r="AM17" s="383"/>
      <c r="AN17" s="383"/>
      <c r="AO17" s="384"/>
    </row>
    <row r="18" spans="1:41" ht="15">
      <c r="A18" s="59" t="s">
        <v>1556</v>
      </c>
      <c r="B18" s="115"/>
      <c r="C18" s="115"/>
      <c r="D18" s="115"/>
      <c r="E18" s="115"/>
      <c r="F18" s="115">
        <f t="shared" ref="F18:K18" si="8">1500000/4</f>
        <v>375000</v>
      </c>
      <c r="G18" s="115">
        <f t="shared" si="8"/>
        <v>375000</v>
      </c>
      <c r="H18" s="115">
        <f t="shared" si="8"/>
        <v>375000</v>
      </c>
      <c r="I18" s="115">
        <f t="shared" si="8"/>
        <v>375000</v>
      </c>
      <c r="J18" s="115">
        <f t="shared" si="8"/>
        <v>375000</v>
      </c>
      <c r="K18" s="115">
        <f t="shared" si="8"/>
        <v>375000</v>
      </c>
      <c r="L18" s="115">
        <f t="shared" ref="L18:Y18" si="9">1500000/4</f>
        <v>375000</v>
      </c>
      <c r="M18" s="115">
        <f t="shared" si="9"/>
        <v>375000</v>
      </c>
      <c r="N18" s="115">
        <f t="shared" si="9"/>
        <v>375000</v>
      </c>
      <c r="O18" s="115">
        <f t="shared" si="9"/>
        <v>375000</v>
      </c>
      <c r="P18" s="115">
        <f t="shared" si="9"/>
        <v>375000</v>
      </c>
      <c r="Q18" s="115">
        <f t="shared" si="9"/>
        <v>375000</v>
      </c>
      <c r="R18" s="115">
        <f t="shared" si="9"/>
        <v>375000</v>
      </c>
      <c r="S18" s="115">
        <f t="shared" si="9"/>
        <v>375000</v>
      </c>
      <c r="T18" s="115">
        <f t="shared" si="9"/>
        <v>375000</v>
      </c>
      <c r="U18" s="115">
        <f t="shared" si="9"/>
        <v>375000</v>
      </c>
      <c r="V18" s="115">
        <f t="shared" si="9"/>
        <v>375000</v>
      </c>
      <c r="W18" s="115">
        <f t="shared" si="9"/>
        <v>375000</v>
      </c>
      <c r="X18" s="115">
        <f t="shared" si="9"/>
        <v>375000</v>
      </c>
      <c r="Y18" s="115">
        <f t="shared" si="9"/>
        <v>375000</v>
      </c>
      <c r="Z18" s="115">
        <f>1500000/4</f>
        <v>375000</v>
      </c>
      <c r="AA18" s="115">
        <f>1500000/4</f>
        <v>375000</v>
      </c>
      <c r="AB18" s="115">
        <f>1500000/4</f>
        <v>375000</v>
      </c>
      <c r="AC18" s="115">
        <f>1500000/4</f>
        <v>375000</v>
      </c>
      <c r="AD18" s="115">
        <f>1500000/4</f>
        <v>375000</v>
      </c>
      <c r="AE18" s="115">
        <f>1500000/4</f>
        <v>375000</v>
      </c>
      <c r="AF18" s="115">
        <f>1500000/4</f>
        <v>375000</v>
      </c>
      <c r="AG18" s="115">
        <f>1500000/4</f>
        <v>375000</v>
      </c>
      <c r="AH18" s="115">
        <f>1500000/4</f>
        <v>375000</v>
      </c>
      <c r="AI18" s="115">
        <f>1500000/4</f>
        <v>375000</v>
      </c>
      <c r="AJ18" s="115">
        <f>1500000/4</f>
        <v>375000</v>
      </c>
      <c r="AK18" s="115">
        <f>1500000/4</f>
        <v>375000</v>
      </c>
      <c r="AL18" s="115">
        <f>1500000/4</f>
        <v>375000</v>
      </c>
      <c r="AM18" s="115">
        <f>1500000/4</f>
        <v>375000</v>
      </c>
      <c r="AN18" s="115">
        <f>1500000/4</f>
        <v>375000</v>
      </c>
      <c r="AO18" s="115">
        <f>1500000/4</f>
        <v>375000</v>
      </c>
    </row>
    <row r="19" spans="1:41" ht="15.75" thickBot="1">
      <c r="A19" s="11"/>
      <c r="B19" s="115"/>
      <c r="C19" s="116"/>
      <c r="D19" s="116"/>
      <c r="E19" s="117"/>
      <c r="F19" s="115">
        <f t="shared" ref="F19:I19" si="10">F18</f>
        <v>375000</v>
      </c>
      <c r="G19" s="115">
        <f t="shared" si="10"/>
        <v>375000</v>
      </c>
      <c r="H19" s="115">
        <f t="shared" si="10"/>
        <v>375000</v>
      </c>
      <c r="I19" s="115">
        <f t="shared" si="10"/>
        <v>375000</v>
      </c>
      <c r="J19" s="115">
        <f t="shared" ref="J19:U19" si="11">J18</f>
        <v>375000</v>
      </c>
      <c r="K19" s="115">
        <f t="shared" si="11"/>
        <v>375000</v>
      </c>
      <c r="L19" s="115">
        <f t="shared" si="11"/>
        <v>375000</v>
      </c>
      <c r="M19" s="115">
        <f t="shared" si="11"/>
        <v>375000</v>
      </c>
      <c r="N19" s="115">
        <f t="shared" si="11"/>
        <v>375000</v>
      </c>
      <c r="O19" s="115">
        <f t="shared" si="11"/>
        <v>375000</v>
      </c>
      <c r="P19" s="115">
        <f t="shared" si="11"/>
        <v>375000</v>
      </c>
      <c r="Q19" s="115">
        <f t="shared" si="11"/>
        <v>375000</v>
      </c>
      <c r="R19" s="115">
        <f t="shared" si="11"/>
        <v>375000</v>
      </c>
      <c r="S19" s="115">
        <f t="shared" si="11"/>
        <v>375000</v>
      </c>
      <c r="T19" s="115">
        <f t="shared" si="11"/>
        <v>375000</v>
      </c>
      <c r="U19" s="115">
        <f t="shared" si="11"/>
        <v>375000</v>
      </c>
      <c r="V19" s="115">
        <f t="shared" ref="V19:Y19" si="12">V18</f>
        <v>375000</v>
      </c>
      <c r="W19" s="115">
        <f t="shared" si="12"/>
        <v>375000</v>
      </c>
      <c r="X19" s="115">
        <f t="shared" si="12"/>
        <v>375000</v>
      </c>
      <c r="Y19" s="115">
        <f t="shared" si="12"/>
        <v>375000</v>
      </c>
      <c r="Z19" s="115">
        <f>Z18</f>
        <v>375000</v>
      </c>
      <c r="AA19" s="115">
        <f>AA18</f>
        <v>375000</v>
      </c>
      <c r="AB19" s="115">
        <f>AB18</f>
        <v>375000</v>
      </c>
      <c r="AC19" s="115">
        <f>AC18</f>
        <v>375000</v>
      </c>
      <c r="AD19" s="115">
        <f>AD18</f>
        <v>375000</v>
      </c>
      <c r="AE19" s="115">
        <f>AE18</f>
        <v>375000</v>
      </c>
      <c r="AF19" s="115">
        <f>AF18</f>
        <v>375000</v>
      </c>
      <c r="AG19" s="115">
        <f>AG18</f>
        <v>375000</v>
      </c>
      <c r="AH19" s="115">
        <f>AH18</f>
        <v>375000</v>
      </c>
      <c r="AI19" s="115">
        <f>AI18</f>
        <v>375000</v>
      </c>
      <c r="AJ19" s="115">
        <f>AJ18</f>
        <v>375000</v>
      </c>
      <c r="AK19" s="115">
        <f>AK18</f>
        <v>375000</v>
      </c>
      <c r="AL19" s="115">
        <f>AL18</f>
        <v>375000</v>
      </c>
      <c r="AM19" s="115">
        <f>AM18</f>
        <v>375000</v>
      </c>
      <c r="AN19" s="115">
        <f>AN18</f>
        <v>375000</v>
      </c>
      <c r="AO19" s="115">
        <f>AO18</f>
        <v>375000</v>
      </c>
    </row>
    <row r="20" spans="1:41" ht="15.75" thickBot="1">
      <c r="A20" s="11"/>
      <c r="B20" s="11"/>
      <c r="C20" s="11"/>
      <c r="D20" s="11"/>
      <c r="E20" s="11"/>
      <c r="F20" s="11"/>
      <c r="G20" s="11"/>
      <c r="H20" s="12"/>
      <c r="I20" s="42">
        <v>300000</v>
      </c>
      <c r="J20" s="11"/>
      <c r="K20" s="11"/>
      <c r="L20" s="12"/>
      <c r="M20" s="42">
        <v>300000</v>
      </c>
      <c r="N20" s="10"/>
      <c r="O20" s="10"/>
      <c r="P20" s="10"/>
      <c r="Q20" s="63">
        <v>1100000</v>
      </c>
      <c r="R20" s="10"/>
      <c r="S20" s="10"/>
      <c r="T20" s="10"/>
      <c r="U20" s="63">
        <v>1200000</v>
      </c>
      <c r="V20" s="10"/>
      <c r="W20" s="10"/>
      <c r="X20" s="10"/>
      <c r="Y20" s="63">
        <v>1200000</v>
      </c>
      <c r="Z20" s="10"/>
      <c r="AA20" s="10"/>
      <c r="AB20" s="10"/>
      <c r="AC20" s="63">
        <v>1200000</v>
      </c>
      <c r="AD20" s="10"/>
      <c r="AE20" s="10"/>
      <c r="AF20" s="10"/>
      <c r="AG20" s="63">
        <v>1200000</v>
      </c>
      <c r="AH20" s="10"/>
      <c r="AI20" s="10"/>
      <c r="AJ20" s="10"/>
      <c r="AK20" s="63">
        <v>1200000</v>
      </c>
      <c r="AL20" s="10"/>
      <c r="AM20" s="10"/>
      <c r="AN20" s="10"/>
      <c r="AO20" s="63">
        <v>1200000</v>
      </c>
    </row>
    <row r="21" spans="1:41">
      <c r="G21" s="13"/>
    </row>
    <row r="23" spans="1:41">
      <c r="A23" s="59" t="s">
        <v>570</v>
      </c>
      <c r="B23" s="25" t="s">
        <v>497</v>
      </c>
      <c r="C23" s="25" t="s">
        <v>498</v>
      </c>
      <c r="D23" s="25" t="s">
        <v>499</v>
      </c>
      <c r="E23" s="25" t="s">
        <v>500</v>
      </c>
      <c r="F23" s="25" t="s">
        <v>497</v>
      </c>
      <c r="G23" s="25" t="s">
        <v>498</v>
      </c>
      <c r="H23" s="25" t="s">
        <v>499</v>
      </c>
      <c r="I23" s="25" t="s">
        <v>500</v>
      </c>
      <c r="J23" s="25" t="s">
        <v>497</v>
      </c>
      <c r="K23" s="25" t="s">
        <v>498</v>
      </c>
      <c r="L23" s="25" t="s">
        <v>499</v>
      </c>
      <c r="M23" s="25" t="s">
        <v>500</v>
      </c>
      <c r="N23" s="25" t="s">
        <v>497</v>
      </c>
      <c r="O23" s="25" t="s">
        <v>498</v>
      </c>
      <c r="P23" s="25" t="s">
        <v>499</v>
      </c>
      <c r="Q23" s="25" t="s">
        <v>500</v>
      </c>
      <c r="R23" s="25" t="s">
        <v>497</v>
      </c>
      <c r="S23" s="25" t="s">
        <v>498</v>
      </c>
      <c r="T23" s="25" t="s">
        <v>499</v>
      </c>
      <c r="U23" s="25" t="s">
        <v>500</v>
      </c>
      <c r="V23" s="25" t="s">
        <v>497</v>
      </c>
      <c r="W23" s="25" t="s">
        <v>498</v>
      </c>
      <c r="X23" s="25" t="s">
        <v>499</v>
      </c>
      <c r="Y23" s="25" t="s">
        <v>500</v>
      </c>
      <c r="Z23" s="25" t="s">
        <v>497</v>
      </c>
      <c r="AA23" s="25" t="s">
        <v>498</v>
      </c>
      <c r="AB23" s="25" t="s">
        <v>499</v>
      </c>
      <c r="AC23" s="25" t="s">
        <v>500</v>
      </c>
      <c r="AD23" s="25" t="s">
        <v>497</v>
      </c>
      <c r="AE23" s="25" t="s">
        <v>498</v>
      </c>
      <c r="AF23" s="25" t="s">
        <v>499</v>
      </c>
      <c r="AG23" s="25" t="s">
        <v>500</v>
      </c>
      <c r="AH23" s="25" t="s">
        <v>497</v>
      </c>
      <c r="AI23" s="25" t="s">
        <v>498</v>
      </c>
      <c r="AJ23" s="25" t="s">
        <v>499</v>
      </c>
      <c r="AK23" s="25" t="s">
        <v>500</v>
      </c>
      <c r="AL23" s="25" t="s">
        <v>497</v>
      </c>
      <c r="AM23" s="25" t="s">
        <v>498</v>
      </c>
      <c r="AN23" s="25" t="s">
        <v>499</v>
      </c>
      <c r="AO23" s="25" t="s">
        <v>500</v>
      </c>
    </row>
    <row r="24" spans="1:41">
      <c r="A24" s="54" t="s">
        <v>566</v>
      </c>
      <c r="B24" s="78"/>
      <c r="C24" s="78"/>
      <c r="D24" s="78"/>
      <c r="E24" s="78"/>
      <c r="F24" s="78">
        <f>$I$26/4</f>
        <v>46080000</v>
      </c>
      <c r="G24" s="78">
        <f>$I$26/4</f>
        <v>46080000</v>
      </c>
      <c r="H24" s="78">
        <f>$I$26/4</f>
        <v>46080000</v>
      </c>
      <c r="I24" s="78">
        <f>$I$26/4</f>
        <v>46080000</v>
      </c>
      <c r="J24" s="78">
        <f>$M$26/4</f>
        <v>40959999.999999993</v>
      </c>
      <c r="K24" s="78">
        <f t="shared" ref="K24:M24" si="13">$M$26/4</f>
        <v>40959999.999999993</v>
      </c>
      <c r="L24" s="78">
        <f t="shared" si="13"/>
        <v>40959999.999999993</v>
      </c>
      <c r="M24" s="78">
        <f t="shared" si="13"/>
        <v>40959999.999999993</v>
      </c>
      <c r="N24" s="78">
        <f>$Q$26/4</f>
        <v>35839999.999999993</v>
      </c>
      <c r="O24" s="78">
        <f t="shared" ref="O24:Q24" si="14">$Q$26/4</f>
        <v>35839999.999999993</v>
      </c>
      <c r="P24" s="78">
        <f t="shared" si="14"/>
        <v>35839999.999999993</v>
      </c>
      <c r="Q24" s="78">
        <f t="shared" si="14"/>
        <v>35839999.999999993</v>
      </c>
      <c r="R24" s="78">
        <f>$U$26/4</f>
        <v>30719999.999999996</v>
      </c>
      <c r="S24" s="78">
        <f t="shared" ref="S24:U24" si="15">$U$26/4</f>
        <v>30719999.999999996</v>
      </c>
      <c r="T24" s="78">
        <f t="shared" si="15"/>
        <v>30719999.999999996</v>
      </c>
      <c r="U24" s="78">
        <f t="shared" si="15"/>
        <v>30719999.999999996</v>
      </c>
      <c r="V24" s="78">
        <f>$Y$26/4</f>
        <v>25599999.999999996</v>
      </c>
      <c r="W24" s="78">
        <f t="shared" ref="W24:Y24" si="16">$Y$26/4</f>
        <v>25599999.999999996</v>
      </c>
      <c r="X24" s="78">
        <f t="shared" si="16"/>
        <v>25599999.999999996</v>
      </c>
      <c r="Y24" s="78">
        <f t="shared" si="16"/>
        <v>25599999.999999996</v>
      </c>
      <c r="Z24" s="78">
        <f>$AC$26/4</f>
        <v>20479999.999999996</v>
      </c>
      <c r="AA24" s="78">
        <f>$AC$26/4</f>
        <v>20479999.999999996</v>
      </c>
      <c r="AB24" s="78">
        <f>$AC$26/4</f>
        <v>20479999.999999996</v>
      </c>
      <c r="AC24" s="78">
        <f>$AC$26/4</f>
        <v>20479999.999999996</v>
      </c>
      <c r="AD24" s="78">
        <f>$AG$26/4</f>
        <v>15360000</v>
      </c>
      <c r="AE24" s="78">
        <f>$AG$26/4</f>
        <v>15360000</v>
      </c>
      <c r="AF24" s="78">
        <f>$AG$26/4</f>
        <v>15360000</v>
      </c>
      <c r="AG24" s="78">
        <f>$AG$26/4</f>
        <v>15360000</v>
      </c>
      <c r="AH24" s="78">
        <f>$AK$26/4</f>
        <v>10240000</v>
      </c>
      <c r="AI24" s="78">
        <f>$AK$26/4</f>
        <v>10240000</v>
      </c>
      <c r="AJ24" s="78">
        <f>$AK$26/4</f>
        <v>10240000</v>
      </c>
      <c r="AK24" s="78">
        <f>$AK$26/4</f>
        <v>10240000</v>
      </c>
      <c r="AL24" s="78">
        <f>$AO$26/4</f>
        <v>5120000.0000000009</v>
      </c>
      <c r="AM24" s="78">
        <f>$AO$26/4</f>
        <v>5120000.0000000009</v>
      </c>
      <c r="AN24" s="78">
        <f>$AO$26/4</f>
        <v>5120000.0000000009</v>
      </c>
      <c r="AO24" s="78">
        <f>$AO$26/4</f>
        <v>5120000.0000000009</v>
      </c>
    </row>
    <row r="25" spans="1:41" ht="15" thickBot="1">
      <c r="A25" s="100" t="s">
        <v>567</v>
      </c>
      <c r="B25" s="57"/>
      <c r="C25" s="56"/>
      <c r="D25" s="56"/>
      <c r="E25" s="61"/>
      <c r="F25" s="57">
        <f t="shared" ref="F25:U25" si="17">SUM(F24:F24)</f>
        <v>46080000</v>
      </c>
      <c r="G25" s="56">
        <f t="shared" si="17"/>
        <v>46080000</v>
      </c>
      <c r="H25" s="56">
        <f t="shared" si="17"/>
        <v>46080000</v>
      </c>
      <c r="I25" s="61">
        <f t="shared" si="17"/>
        <v>46080000</v>
      </c>
      <c r="J25" s="57">
        <f t="shared" si="17"/>
        <v>40959999.999999993</v>
      </c>
      <c r="K25" s="56">
        <f t="shared" si="17"/>
        <v>40959999.999999993</v>
      </c>
      <c r="L25" s="56">
        <f t="shared" si="17"/>
        <v>40959999.999999993</v>
      </c>
      <c r="M25" s="61">
        <f t="shared" si="17"/>
        <v>40959999.999999993</v>
      </c>
      <c r="N25" s="57">
        <f t="shared" si="17"/>
        <v>35839999.999999993</v>
      </c>
      <c r="O25" s="56">
        <f t="shared" si="17"/>
        <v>35839999.999999993</v>
      </c>
      <c r="P25" s="56">
        <f t="shared" si="17"/>
        <v>35839999.999999993</v>
      </c>
      <c r="Q25" s="61">
        <f t="shared" si="17"/>
        <v>35839999.999999993</v>
      </c>
      <c r="R25" s="57">
        <f t="shared" si="17"/>
        <v>30719999.999999996</v>
      </c>
      <c r="S25" s="56">
        <f t="shared" si="17"/>
        <v>30719999.999999996</v>
      </c>
      <c r="T25" s="56">
        <f t="shared" si="17"/>
        <v>30719999.999999996</v>
      </c>
      <c r="U25" s="61">
        <f t="shared" si="17"/>
        <v>30719999.999999996</v>
      </c>
      <c r="V25" s="57">
        <f t="shared" ref="V25:Y25" si="18">SUM(V24:V24)</f>
        <v>25599999.999999996</v>
      </c>
      <c r="W25" s="56">
        <f t="shared" si="18"/>
        <v>25599999.999999996</v>
      </c>
      <c r="X25" s="56">
        <f t="shared" si="18"/>
        <v>25599999.999999996</v>
      </c>
      <c r="Y25" s="61">
        <f t="shared" si="18"/>
        <v>25599999.999999996</v>
      </c>
      <c r="Z25" s="57">
        <f>SUM(Z24:Z24)</f>
        <v>20479999.999999996</v>
      </c>
      <c r="AA25" s="56">
        <f>SUM(AA24:AA24)</f>
        <v>20479999.999999996</v>
      </c>
      <c r="AB25" s="56">
        <f>SUM(AB24:AB24)</f>
        <v>20479999.999999996</v>
      </c>
      <c r="AC25" s="61">
        <f>SUM(AC24:AC24)</f>
        <v>20479999.999999996</v>
      </c>
      <c r="AD25" s="57">
        <f>SUM(AD24:AD24)</f>
        <v>15360000</v>
      </c>
      <c r="AE25" s="56">
        <f>SUM(AE24:AE24)</f>
        <v>15360000</v>
      </c>
      <c r="AF25" s="56">
        <f>SUM(AF24:AF24)</f>
        <v>15360000</v>
      </c>
      <c r="AG25" s="61">
        <f>SUM(AG24:AG24)</f>
        <v>15360000</v>
      </c>
      <c r="AH25" s="57">
        <f>SUM(AH24:AH24)</f>
        <v>10240000</v>
      </c>
      <c r="AI25" s="56">
        <f>SUM(AI24:AI24)</f>
        <v>10240000</v>
      </c>
      <c r="AJ25" s="56">
        <f>SUM(AJ24:AJ24)</f>
        <v>10240000</v>
      </c>
      <c r="AK25" s="61">
        <f>SUM(AK24:AK24)</f>
        <v>10240000</v>
      </c>
      <c r="AL25" s="57">
        <f>SUM(AL24:AL24)</f>
        <v>5120000.0000000009</v>
      </c>
      <c r="AM25" s="56">
        <f>SUM(AM24:AM24)</f>
        <v>5120000.0000000009</v>
      </c>
      <c r="AN25" s="56">
        <f>SUM(AN24:AN24)</f>
        <v>5120000.0000000009</v>
      </c>
      <c r="AO25" s="61">
        <f>SUM(AO24:AO24)</f>
        <v>5120000.0000000009</v>
      </c>
    </row>
    <row r="26" spans="1:41" ht="15" thickBot="1">
      <c r="A26" s="100" t="s">
        <v>568</v>
      </c>
      <c r="E26" s="141"/>
      <c r="F26" s="121"/>
      <c r="I26" s="63">
        <f>Leasing!C3</f>
        <v>184320000</v>
      </c>
      <c r="M26" s="63">
        <f>Leasing!C4</f>
        <v>163839999.99999997</v>
      </c>
      <c r="Q26" s="63">
        <f>Leasing!C5</f>
        <v>143359999.99999997</v>
      </c>
      <c r="U26" s="63">
        <f>Leasing!C6</f>
        <v>122879999.99999999</v>
      </c>
      <c r="Y26" s="63">
        <f>Leasing!C7</f>
        <v>102399999.99999999</v>
      </c>
      <c r="AC26" s="63">
        <f>Leasing!C8</f>
        <v>81919999.999999985</v>
      </c>
      <c r="AG26" s="63">
        <f>Leasing!C9</f>
        <v>61440000</v>
      </c>
      <c r="AK26" s="63">
        <f>Leasing!C10</f>
        <v>40960000</v>
      </c>
      <c r="AO26" s="63">
        <f>Leasing!C11</f>
        <v>20480000.000000004</v>
      </c>
    </row>
  </sheetData>
  <mergeCells count="20">
    <mergeCell ref="AL10:AO10"/>
    <mergeCell ref="AL17:AO17"/>
    <mergeCell ref="Z10:AC10"/>
    <mergeCell ref="Z17:AC17"/>
    <mergeCell ref="AD10:AG10"/>
    <mergeCell ref="AD17:AG17"/>
    <mergeCell ref="AH10:AK10"/>
    <mergeCell ref="AH17:AK17"/>
    <mergeCell ref="V10:Y10"/>
    <mergeCell ref="V17:Y17"/>
    <mergeCell ref="B17:E17"/>
    <mergeCell ref="F17:I17"/>
    <mergeCell ref="J17:M17"/>
    <mergeCell ref="N17:Q17"/>
    <mergeCell ref="R17:U17"/>
    <mergeCell ref="J10:M10"/>
    <mergeCell ref="N10:Q10"/>
    <mergeCell ref="R10:U10"/>
    <mergeCell ref="B10:E10"/>
    <mergeCell ref="F10:I10"/>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59B74-35C6-4358-A513-FD7F81B0299D}">
  <sheetPr codeName="Arkusz10">
    <outlinePr summaryBelow="0" summaryRight="0"/>
  </sheetPr>
  <dimension ref="A1:F35"/>
  <sheetViews>
    <sheetView zoomScale="115" zoomScaleNormal="115" workbookViewId="0"/>
  </sheetViews>
  <sheetFormatPr defaultColWidth="11.375" defaultRowHeight="15.75" customHeight="1"/>
  <cols>
    <col min="1" max="1" width="37.75" style="123" customWidth="1"/>
    <col min="2" max="2" width="11.375" style="123"/>
    <col min="3" max="3" width="35.125" style="123" bestFit="1" customWidth="1"/>
    <col min="4" max="4" width="17.625" style="123" customWidth="1"/>
    <col min="5" max="5" width="22.25" style="123" customWidth="1"/>
    <col min="6" max="16384" width="11.375" style="123"/>
  </cols>
  <sheetData>
    <row r="1" spans="1:6" ht="15.75" customHeight="1">
      <c r="A1" s="122"/>
      <c r="B1" s="122"/>
      <c r="C1" s="122"/>
      <c r="D1" s="122"/>
      <c r="E1" s="122"/>
      <c r="F1" s="122"/>
    </row>
    <row r="3" spans="1:6" ht="15.75" customHeight="1">
      <c r="A3" s="124"/>
    </row>
    <row r="6" spans="1:6" ht="15.75" customHeight="1">
      <c r="A6" s="124"/>
    </row>
    <row r="7" spans="1:6" ht="15.75" customHeight="1">
      <c r="A7" s="125"/>
    </row>
    <row r="8" spans="1:6" ht="15.75" customHeight="1">
      <c r="A8" s="152" t="s">
        <v>632</v>
      </c>
      <c r="B8" s="151" t="s">
        <v>633</v>
      </c>
    </row>
    <row r="11" spans="1:6" ht="15.75" customHeight="1">
      <c r="A11" s="137" t="s">
        <v>585</v>
      </c>
      <c r="B11" s="137" t="s">
        <v>586</v>
      </c>
      <c r="C11" s="137" t="s">
        <v>629</v>
      </c>
      <c r="D11" s="137" t="s">
        <v>587</v>
      </c>
      <c r="E11" s="137" t="s">
        <v>588</v>
      </c>
    </row>
    <row r="12" spans="1:6" ht="15.75" customHeight="1">
      <c r="A12" s="140" t="s">
        <v>630</v>
      </c>
      <c r="B12" s="124">
        <v>1</v>
      </c>
      <c r="C12" s="126">
        <v>18000</v>
      </c>
      <c r="D12" s="126">
        <f>B12*C12</f>
        <v>18000</v>
      </c>
      <c r="E12" s="126">
        <f>D12*12</f>
        <v>216000</v>
      </c>
    </row>
    <row r="13" spans="1:6" ht="15.75" customHeight="1">
      <c r="A13" s="140" t="s">
        <v>554</v>
      </c>
      <c r="B13" s="124">
        <v>2</v>
      </c>
      <c r="C13" s="126">
        <v>12000</v>
      </c>
      <c r="D13" s="126">
        <f t="shared" ref="D13:D18" si="0">B13*C13</f>
        <v>24000</v>
      </c>
      <c r="E13" s="126">
        <f t="shared" ref="E13:E18" si="1">D13*12</f>
        <v>288000</v>
      </c>
    </row>
    <row r="14" spans="1:6" ht="15.75" customHeight="1">
      <c r="A14" s="140" t="s">
        <v>619</v>
      </c>
      <c r="B14" s="124">
        <v>1</v>
      </c>
      <c r="C14" s="126">
        <f>10000/3.2</f>
        <v>3125</v>
      </c>
      <c r="D14" s="126">
        <f t="shared" si="0"/>
        <v>3125</v>
      </c>
      <c r="E14" s="126">
        <f t="shared" si="1"/>
        <v>37500</v>
      </c>
    </row>
    <row r="15" spans="1:6" ht="15.75" customHeight="1">
      <c r="A15" s="140" t="s">
        <v>620</v>
      </c>
      <c r="B15" s="124">
        <v>1</v>
      </c>
      <c r="C15" s="126">
        <f>15000/3.2</f>
        <v>4687.5</v>
      </c>
      <c r="D15" s="126">
        <f t="shared" si="0"/>
        <v>4687.5</v>
      </c>
      <c r="E15" s="126">
        <f t="shared" si="1"/>
        <v>56250</v>
      </c>
    </row>
    <row r="16" spans="1:6" ht="15.75" customHeight="1">
      <c r="A16" s="140" t="s">
        <v>571</v>
      </c>
      <c r="B16" s="124">
        <v>15</v>
      </c>
      <c r="C16" s="126">
        <f>27000/3.2</f>
        <v>8437.5</v>
      </c>
      <c r="D16" s="126">
        <f t="shared" si="0"/>
        <v>126562.5</v>
      </c>
      <c r="E16" s="126">
        <f t="shared" si="1"/>
        <v>1518750</v>
      </c>
    </row>
    <row r="17" spans="1:6" ht="15.75" customHeight="1">
      <c r="A17" s="140" t="s">
        <v>572</v>
      </c>
      <c r="B17" s="124">
        <v>50</v>
      </c>
      <c r="C17" s="126">
        <f>20000/3.2</f>
        <v>6250</v>
      </c>
      <c r="D17" s="126">
        <f t="shared" si="0"/>
        <v>312500</v>
      </c>
      <c r="E17" s="126">
        <f t="shared" si="1"/>
        <v>3750000</v>
      </c>
    </row>
    <row r="18" spans="1:6" ht="15.75" customHeight="1">
      <c r="A18" s="140" t="s">
        <v>573</v>
      </c>
      <c r="B18" s="124">
        <v>20</v>
      </c>
      <c r="C18" s="126">
        <f>12000/3.2</f>
        <v>3750</v>
      </c>
      <c r="D18" s="126">
        <f t="shared" si="0"/>
        <v>75000</v>
      </c>
      <c r="E18" s="126">
        <f t="shared" si="1"/>
        <v>900000</v>
      </c>
    </row>
    <row r="19" spans="1:6" ht="15.75" customHeight="1">
      <c r="A19" s="138" t="s">
        <v>574</v>
      </c>
      <c r="B19" s="138">
        <f>SUM(B12:B18)</f>
        <v>90</v>
      </c>
      <c r="C19" s="139">
        <f>SUM(C12:C18)</f>
        <v>56250</v>
      </c>
      <c r="D19" s="139">
        <f>SUM(D12:D18)</f>
        <v>563875</v>
      </c>
      <c r="E19" s="139">
        <f>SUM(E12:E18)</f>
        <v>6766500</v>
      </c>
    </row>
    <row r="22" spans="1:6" ht="15.75" customHeight="1">
      <c r="A22" s="122"/>
      <c r="B22" s="122"/>
      <c r="C22" s="122"/>
      <c r="D22" s="122"/>
      <c r="E22" s="122"/>
      <c r="F22" s="122"/>
    </row>
    <row r="23" spans="1:6" ht="15.75" hidden="1" customHeight="1">
      <c r="A23" s="124"/>
      <c r="B23" s="124"/>
      <c r="C23" s="124"/>
      <c r="D23" s="124"/>
      <c r="E23" s="124"/>
      <c r="F23" s="127"/>
    </row>
    <row r="24" spans="1:6" ht="15.75" hidden="1" customHeight="1">
      <c r="A24" s="124"/>
      <c r="B24" s="124"/>
      <c r="C24" s="124"/>
      <c r="D24" s="124"/>
      <c r="E24" s="124"/>
      <c r="F24" s="127"/>
    </row>
    <row r="25" spans="1:6" ht="15.75" hidden="1" customHeight="1">
      <c r="A25" s="124"/>
      <c r="B25" s="124"/>
      <c r="C25" s="124"/>
      <c r="D25" s="124"/>
      <c r="E25" s="124"/>
      <c r="F25" s="127"/>
    </row>
    <row r="26" spans="1:6" ht="15.75" hidden="1" customHeight="1">
      <c r="A26" s="124"/>
      <c r="B26" s="124"/>
      <c r="C26" s="124"/>
      <c r="D26" s="124"/>
      <c r="E26" s="124"/>
      <c r="F26" s="127"/>
    </row>
    <row r="27" spans="1:6" ht="15.75" hidden="1" customHeight="1">
      <c r="A27" s="124"/>
      <c r="B27" s="124"/>
      <c r="C27" s="124"/>
      <c r="D27" s="124"/>
      <c r="E27" s="124"/>
      <c r="F27" s="127"/>
    </row>
    <row r="28" spans="1:6" ht="15.75" hidden="1" customHeight="1">
      <c r="A28" s="124"/>
      <c r="B28" s="124"/>
      <c r="C28" s="124"/>
      <c r="D28" s="124"/>
      <c r="E28" s="124"/>
      <c r="F28" s="127"/>
    </row>
    <row r="29" spans="1:6" ht="15.75" hidden="1" customHeight="1">
      <c r="A29" s="124"/>
      <c r="B29" s="124"/>
      <c r="C29" s="124"/>
      <c r="D29" s="124"/>
      <c r="E29" s="124"/>
      <c r="F29" s="127"/>
    </row>
    <row r="30" spans="1:6" ht="15.75" hidden="1" customHeight="1">
      <c r="A30" s="124"/>
      <c r="B30" s="124"/>
      <c r="C30" s="124"/>
      <c r="D30" s="124"/>
      <c r="E30" s="124"/>
      <c r="F30" s="127"/>
    </row>
    <row r="31" spans="1:6" ht="15.75" hidden="1" customHeight="1">
      <c r="A31" s="124"/>
      <c r="B31" s="124"/>
      <c r="C31" s="124"/>
      <c r="D31" s="124"/>
      <c r="E31" s="124"/>
      <c r="F31" s="127"/>
    </row>
    <row r="32" spans="1:6" ht="15.75" hidden="1" customHeight="1">
      <c r="A32" s="124"/>
      <c r="B32" s="124"/>
      <c r="C32" s="124"/>
      <c r="D32" s="124"/>
      <c r="E32" s="124"/>
      <c r="F32" s="127"/>
    </row>
    <row r="33" spans="1:6" ht="15.75" hidden="1" customHeight="1">
      <c r="A33" s="124"/>
      <c r="B33" s="124"/>
      <c r="C33" s="124"/>
      <c r="D33" s="124"/>
      <c r="E33" s="124"/>
      <c r="F33" s="127"/>
    </row>
    <row r="34" spans="1:6" ht="15.75" hidden="1" customHeight="1">
      <c r="A34" s="124"/>
      <c r="B34" s="124"/>
      <c r="C34" s="124"/>
      <c r="D34" s="124"/>
      <c r="E34" s="124"/>
      <c r="F34" s="127"/>
    </row>
    <row r="35" spans="1:6" ht="15.75" hidden="1" customHeight="1">
      <c r="A35" s="124"/>
      <c r="B35" s="124"/>
      <c r="C35" s="124"/>
      <c r="D35" s="124"/>
      <c r="E35" s="124"/>
      <c r="F35" s="127"/>
    </row>
  </sheetData>
  <hyperlinks>
    <hyperlink ref="B8" r:id="rId1" xr:uid="{2F5F7A3D-3F98-4E0D-9940-835125B37509}"/>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389FF-D2C1-4130-B6D3-17BC40332890}">
  <sheetPr codeName="Arkusz11"/>
  <dimension ref="A1:G19"/>
  <sheetViews>
    <sheetView workbookViewId="0">
      <selection activeCell="C17" sqref="C17"/>
    </sheetView>
  </sheetViews>
  <sheetFormatPr defaultColWidth="8.75" defaultRowHeight="14.25"/>
  <cols>
    <col min="1" max="1" width="3.625" style="129" bestFit="1" customWidth="1"/>
    <col min="2" max="2" width="21.625" style="129" bestFit="1" customWidth="1"/>
    <col min="3" max="3" width="16.25" style="129" bestFit="1" customWidth="1"/>
    <col min="4" max="4" width="24.875" style="129" bestFit="1" customWidth="1"/>
    <col min="5" max="5" width="20.625" style="129" bestFit="1" customWidth="1"/>
    <col min="6" max="6" width="20.75" style="129" bestFit="1" customWidth="1"/>
    <col min="7" max="16384" width="8.75" style="129"/>
  </cols>
  <sheetData>
    <row r="1" spans="1:7" ht="15">
      <c r="A1" s="128" t="s">
        <v>576</v>
      </c>
      <c r="B1" s="128" t="s">
        <v>577</v>
      </c>
      <c r="C1" s="128" t="s">
        <v>578</v>
      </c>
      <c r="D1" s="128" t="s">
        <v>579</v>
      </c>
      <c r="E1" s="128" t="s">
        <v>580</v>
      </c>
      <c r="F1" s="128" t="s">
        <v>581</v>
      </c>
    </row>
    <row r="2" spans="1:7" ht="15">
      <c r="A2" s="130">
        <v>0</v>
      </c>
      <c r="B2" s="130"/>
      <c r="C2" s="130"/>
      <c r="D2" s="131">
        <f>-B3</f>
        <v>-3072000000</v>
      </c>
      <c r="E2" s="130"/>
      <c r="F2" s="130"/>
    </row>
    <row r="3" spans="1:7">
      <c r="A3" s="129">
        <v>1</v>
      </c>
      <c r="B3" s="202">
        <f>Assumptions!B72</f>
        <v>3072000000</v>
      </c>
      <c r="C3" s="132">
        <f>Assumptions!$B$76*(-D2)</f>
        <v>184320000</v>
      </c>
      <c r="D3" s="132">
        <f>Assumptions!$B$78</f>
        <v>341333333.33333331</v>
      </c>
      <c r="E3" s="132">
        <f>C3+D3</f>
        <v>525653333.33333331</v>
      </c>
      <c r="F3" s="132">
        <f>B3-D3</f>
        <v>2730666666.6666665</v>
      </c>
      <c r="G3" s="132"/>
    </row>
    <row r="4" spans="1:7">
      <c r="A4" s="129">
        <f>A3+1</f>
        <v>2</v>
      </c>
      <c r="B4" s="132">
        <f>B3-D3</f>
        <v>2730666666.6666665</v>
      </c>
      <c r="C4" s="132">
        <f>-(Assumptions!$B$76*SUM($D$2:D3))</f>
        <v>163839999.99999997</v>
      </c>
      <c r="D4" s="132">
        <f>Assumptions!$B$78</f>
        <v>341333333.33333331</v>
      </c>
      <c r="E4" s="132">
        <f t="shared" ref="E4:E7" si="0">C4+D4</f>
        <v>505173333.33333325</v>
      </c>
      <c r="F4" s="132">
        <f t="shared" ref="F4:F7" si="1">B4-D4</f>
        <v>2389333333.333333</v>
      </c>
      <c r="G4" s="132"/>
    </row>
    <row r="5" spans="1:7">
      <c r="A5" s="129">
        <f t="shared" ref="A5:A9" si="2">A4+1</f>
        <v>3</v>
      </c>
      <c r="B5" s="132">
        <f t="shared" ref="B5:B7" si="3">B4-D4</f>
        <v>2389333333.333333</v>
      </c>
      <c r="C5" s="132">
        <f>-(Assumptions!$B$76*SUM($D$2:D4))</f>
        <v>143359999.99999997</v>
      </c>
      <c r="D5" s="132">
        <f>Assumptions!$B$78</f>
        <v>341333333.33333331</v>
      </c>
      <c r="E5" s="132">
        <f t="shared" si="0"/>
        <v>484693333.33333325</v>
      </c>
      <c r="F5" s="132">
        <f t="shared" si="1"/>
        <v>2047999999.9999998</v>
      </c>
      <c r="G5" s="132"/>
    </row>
    <row r="6" spans="1:7">
      <c r="A6" s="129">
        <f t="shared" si="2"/>
        <v>4</v>
      </c>
      <c r="B6" s="132">
        <f t="shared" si="3"/>
        <v>2047999999.9999998</v>
      </c>
      <c r="C6" s="132">
        <f>-(Assumptions!$B$76*SUM($D$2:D5))</f>
        <v>122879999.99999999</v>
      </c>
      <c r="D6" s="132">
        <f>Assumptions!$B$78</f>
        <v>341333333.33333331</v>
      </c>
      <c r="E6" s="132">
        <f t="shared" si="0"/>
        <v>464213333.33333331</v>
      </c>
      <c r="F6" s="132">
        <f t="shared" si="1"/>
        <v>1706666666.6666665</v>
      </c>
      <c r="G6" s="132"/>
    </row>
    <row r="7" spans="1:7">
      <c r="A7" s="129">
        <f t="shared" si="2"/>
        <v>5</v>
      </c>
      <c r="B7" s="132">
        <f t="shared" si="3"/>
        <v>1706666666.6666665</v>
      </c>
      <c r="C7" s="132">
        <f>-(Assumptions!$B$76*SUM($D$2:D6))</f>
        <v>102399999.99999999</v>
      </c>
      <c r="D7" s="132">
        <f>Assumptions!$B$78</f>
        <v>341333333.33333331</v>
      </c>
      <c r="E7" s="132">
        <f t="shared" si="0"/>
        <v>443733333.33333331</v>
      </c>
      <c r="F7" s="132">
        <f t="shared" si="1"/>
        <v>1365333333.3333333</v>
      </c>
      <c r="G7" s="132"/>
    </row>
    <row r="8" spans="1:7">
      <c r="A8" s="129">
        <f t="shared" si="2"/>
        <v>6</v>
      </c>
      <c r="B8" s="132">
        <f t="shared" ref="B8" si="4">B7-D7</f>
        <v>1365333333.3333333</v>
      </c>
      <c r="C8" s="132">
        <f>-(Assumptions!$B$76*SUM($D$2:D7))</f>
        <v>81919999.999999985</v>
      </c>
      <c r="D8" s="132">
        <f>Assumptions!$B$78</f>
        <v>341333333.33333331</v>
      </c>
      <c r="E8" s="132">
        <f t="shared" ref="E8" si="5">C8+D8</f>
        <v>423253333.33333331</v>
      </c>
      <c r="F8" s="132">
        <f t="shared" ref="F8" si="6">B8-D8</f>
        <v>1024000000</v>
      </c>
      <c r="G8" s="132"/>
    </row>
    <row r="9" spans="1:7">
      <c r="A9" s="129">
        <f t="shared" si="2"/>
        <v>7</v>
      </c>
      <c r="B9" s="132">
        <f t="shared" ref="B9" si="7">B8-D8</f>
        <v>1024000000</v>
      </c>
      <c r="C9" s="132">
        <f>-(Assumptions!$B$76*SUM($D$2:D8))</f>
        <v>61440000</v>
      </c>
      <c r="D9" s="132">
        <f>Assumptions!$B$78</f>
        <v>341333333.33333331</v>
      </c>
      <c r="E9" s="132">
        <f t="shared" ref="E9" si="8">C9+D9</f>
        <v>402773333.33333331</v>
      </c>
      <c r="F9" s="132">
        <f t="shared" ref="F9" si="9">B9-D9</f>
        <v>682666666.66666675</v>
      </c>
      <c r="G9" s="132"/>
    </row>
    <row r="10" spans="1:7">
      <c r="A10" s="129">
        <f t="shared" ref="A10" si="10">A9+1</f>
        <v>8</v>
      </c>
      <c r="B10" s="132">
        <f t="shared" ref="B10" si="11">B9-D9</f>
        <v>682666666.66666675</v>
      </c>
      <c r="C10" s="132">
        <f>-(Assumptions!$B$76*SUM($D$2:D9))</f>
        <v>40960000</v>
      </c>
      <c r="D10" s="132">
        <f>Assumptions!$B$78</f>
        <v>341333333.33333331</v>
      </c>
      <c r="E10" s="132">
        <f t="shared" ref="E10" si="12">C10+D10</f>
        <v>382293333.33333331</v>
      </c>
      <c r="F10" s="132">
        <f t="shared" ref="F10" si="13">B10-D10</f>
        <v>341333333.33333343</v>
      </c>
      <c r="G10" s="132"/>
    </row>
    <row r="11" spans="1:7">
      <c r="A11" s="129">
        <f t="shared" ref="A11" si="14">A10+1</f>
        <v>9</v>
      </c>
      <c r="B11" s="132">
        <f t="shared" ref="B11" si="15">B10-D10</f>
        <v>341333333.33333343</v>
      </c>
      <c r="C11" s="132">
        <f>-(Assumptions!$B$76*SUM($D$2:D10))</f>
        <v>20480000.000000004</v>
      </c>
      <c r="D11" s="132">
        <f>Assumptions!$B$78</f>
        <v>341333333.33333331</v>
      </c>
      <c r="E11" s="132">
        <f t="shared" ref="E11" si="16">C11+D11</f>
        <v>361813333.33333331</v>
      </c>
      <c r="F11" s="132">
        <f t="shared" ref="F11" si="17">B11-D11</f>
        <v>0</v>
      </c>
      <c r="G11" s="132"/>
    </row>
    <row r="12" spans="1:7">
      <c r="B12" s="132"/>
      <c r="C12" s="132"/>
      <c r="D12" s="132"/>
      <c r="E12" s="132"/>
      <c r="F12" s="132"/>
      <c r="G12" s="132"/>
    </row>
    <row r="13" spans="1:7">
      <c r="B13" s="132"/>
      <c r="C13" s="132"/>
      <c r="D13" s="132"/>
      <c r="E13" s="132"/>
      <c r="F13" s="132"/>
      <c r="G13" s="132"/>
    </row>
    <row r="14" spans="1:7" ht="19.5">
      <c r="B14" s="132"/>
      <c r="C14" s="133">
        <f>SUM(C3:C13)</f>
        <v>921600000</v>
      </c>
      <c r="D14" s="133">
        <f>SUM(D3:D13)</f>
        <v>3072000000</v>
      </c>
      <c r="E14" s="133">
        <f>SUM(E3:E13)</f>
        <v>3993600000.0000005</v>
      </c>
      <c r="F14" s="132"/>
      <c r="G14" s="132"/>
    </row>
    <row r="16" spans="1:7">
      <c r="B16" s="129" t="s">
        <v>582</v>
      </c>
      <c r="C16" s="134">
        <f>IRR(C2:D11)</f>
        <v>3.0449898795536834E-2</v>
      </c>
    </row>
    <row r="17" spans="3:3">
      <c r="C17" s="135">
        <f>C14/D14</f>
        <v>0.3</v>
      </c>
    </row>
    <row r="19" spans="3:3">
      <c r="C19" s="136"/>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BDFF1-4C6B-47E9-8C29-217E583D78F4}">
  <dimension ref="A1:F654"/>
  <sheetViews>
    <sheetView workbookViewId="0">
      <selection activeCell="A365" sqref="A365"/>
    </sheetView>
  </sheetViews>
  <sheetFormatPr defaultRowHeight="14.25"/>
  <cols>
    <col min="1" max="1" width="66.625" customWidth="1"/>
    <col min="2" max="2" width="104.875" customWidth="1"/>
    <col min="3" max="3" width="33.375" customWidth="1"/>
    <col min="4" max="4" width="66.625" customWidth="1"/>
  </cols>
  <sheetData>
    <row r="1" spans="1:6" ht="20.25">
      <c r="A1" s="159" t="s">
        <v>760</v>
      </c>
      <c r="B1" s="160"/>
      <c r="C1" s="160"/>
      <c r="D1" s="160"/>
      <c r="E1" s="160"/>
      <c r="F1" s="160"/>
    </row>
    <row r="2" spans="1:6">
      <c r="A2" s="161" t="s">
        <v>761</v>
      </c>
    </row>
    <row r="4" spans="1:6" ht="16.5">
      <c r="A4" s="162" t="s">
        <v>762</v>
      </c>
      <c r="B4" s="153"/>
      <c r="C4" s="153"/>
      <c r="D4" s="153"/>
      <c r="E4" s="153"/>
      <c r="F4" s="153"/>
    </row>
    <row r="5" spans="1:6" ht="15">
      <c r="A5" s="11" t="s">
        <v>763</v>
      </c>
      <c r="B5" t="s">
        <v>764</v>
      </c>
    </row>
    <row r="6" spans="1:6" ht="15">
      <c r="A6" s="11" t="s">
        <v>765</v>
      </c>
      <c r="B6" t="s">
        <v>766</v>
      </c>
    </row>
    <row r="7" spans="1:6" ht="15">
      <c r="A7" s="11" t="s">
        <v>767</v>
      </c>
      <c r="B7" t="s">
        <v>768</v>
      </c>
    </row>
    <row r="8" spans="1:6" ht="15">
      <c r="A8" s="11" t="s">
        <v>769</v>
      </c>
      <c r="B8" t="s">
        <v>770</v>
      </c>
    </row>
    <row r="9" spans="1:6" ht="15">
      <c r="A9" s="11" t="s">
        <v>771</v>
      </c>
      <c r="B9" t="s">
        <v>772</v>
      </c>
    </row>
    <row r="10" spans="1:6" ht="15">
      <c r="A10" s="11" t="s">
        <v>773</v>
      </c>
      <c r="B10" t="s">
        <v>774</v>
      </c>
    </row>
    <row r="11" spans="1:6" ht="15">
      <c r="A11" s="11" t="s">
        <v>775</v>
      </c>
      <c r="B11" t="s">
        <v>776</v>
      </c>
    </row>
    <row r="12" spans="1:6" ht="15">
      <c r="A12" s="11" t="s">
        <v>777</v>
      </c>
      <c r="B12" t="s">
        <v>778</v>
      </c>
    </row>
    <row r="14" spans="1:6" ht="16.5">
      <c r="A14" s="162" t="s">
        <v>779</v>
      </c>
      <c r="B14" s="153"/>
      <c r="C14" s="153"/>
      <c r="D14" s="153"/>
      <c r="E14" s="153"/>
      <c r="F14" s="153"/>
    </row>
    <row r="15" spans="1:6" ht="15">
      <c r="A15" s="163" t="s">
        <v>780</v>
      </c>
      <c r="B15" s="163" t="s">
        <v>781</v>
      </c>
      <c r="C15" s="163" t="s">
        <v>782</v>
      </c>
      <c r="D15" s="163" t="s">
        <v>703</v>
      </c>
    </row>
    <row r="16" spans="1:6">
      <c r="A16" t="s">
        <v>759</v>
      </c>
      <c r="B16" t="s">
        <v>783</v>
      </c>
      <c r="C16" t="s">
        <v>784</v>
      </c>
      <c r="D16" t="s">
        <v>785</v>
      </c>
    </row>
    <row r="17" spans="1:4">
      <c r="A17" t="s">
        <v>786</v>
      </c>
      <c r="B17" t="s">
        <v>787</v>
      </c>
      <c r="C17" t="s">
        <v>788</v>
      </c>
      <c r="D17" t="s">
        <v>785</v>
      </c>
    </row>
    <row r="18" spans="1:4">
      <c r="A18" t="s">
        <v>789</v>
      </c>
      <c r="B18" t="s">
        <v>790</v>
      </c>
      <c r="C18" t="s">
        <v>791</v>
      </c>
      <c r="D18" t="s">
        <v>785</v>
      </c>
    </row>
    <row r="19" spans="1:4">
      <c r="A19" t="s">
        <v>792</v>
      </c>
      <c r="B19" t="s">
        <v>793</v>
      </c>
      <c r="C19" t="s">
        <v>791</v>
      </c>
      <c r="D19" t="s">
        <v>785</v>
      </c>
    </row>
    <row r="20" spans="1:4">
      <c r="A20" t="s">
        <v>794</v>
      </c>
      <c r="B20" t="s">
        <v>795</v>
      </c>
      <c r="C20" t="s">
        <v>791</v>
      </c>
      <c r="D20" t="s">
        <v>785</v>
      </c>
    </row>
    <row r="21" spans="1:4">
      <c r="A21" t="s">
        <v>796</v>
      </c>
      <c r="B21" t="s">
        <v>797</v>
      </c>
      <c r="C21" t="s">
        <v>791</v>
      </c>
      <c r="D21" t="s">
        <v>785</v>
      </c>
    </row>
    <row r="22" spans="1:4">
      <c r="A22" t="s">
        <v>798</v>
      </c>
      <c r="B22" t="s">
        <v>799</v>
      </c>
      <c r="C22" t="s">
        <v>1520</v>
      </c>
      <c r="D22" t="s">
        <v>785</v>
      </c>
    </row>
    <row r="23" spans="1:4">
      <c r="A23" t="s">
        <v>800</v>
      </c>
      <c r="B23" t="s">
        <v>801</v>
      </c>
      <c r="C23" t="s">
        <v>1520</v>
      </c>
      <c r="D23" t="s">
        <v>785</v>
      </c>
    </row>
    <row r="24" spans="1:4">
      <c r="A24" t="s">
        <v>802</v>
      </c>
      <c r="B24" t="s">
        <v>803</v>
      </c>
      <c r="C24" t="s">
        <v>1520</v>
      </c>
      <c r="D24" t="s">
        <v>785</v>
      </c>
    </row>
    <row r="25" spans="1:4">
      <c r="A25" t="s">
        <v>804</v>
      </c>
      <c r="B25" t="s">
        <v>805</v>
      </c>
      <c r="C25" t="s">
        <v>806</v>
      </c>
      <c r="D25" t="s">
        <v>785</v>
      </c>
    </row>
    <row r="26" spans="1:4">
      <c r="A26" t="s">
        <v>807</v>
      </c>
      <c r="B26" t="s">
        <v>808</v>
      </c>
      <c r="C26" t="s">
        <v>806</v>
      </c>
      <c r="D26" t="s">
        <v>785</v>
      </c>
    </row>
    <row r="27" spans="1:4">
      <c r="A27" t="s">
        <v>593</v>
      </c>
      <c r="B27" t="s">
        <v>809</v>
      </c>
      <c r="C27" t="s">
        <v>806</v>
      </c>
      <c r="D27" t="s">
        <v>785</v>
      </c>
    </row>
    <row r="28" spans="1:4">
      <c r="A28" t="s">
        <v>594</v>
      </c>
      <c r="B28" t="s">
        <v>810</v>
      </c>
      <c r="C28" t="s">
        <v>806</v>
      </c>
      <c r="D28" t="s">
        <v>785</v>
      </c>
    </row>
    <row r="29" spans="1:4">
      <c r="A29" t="s">
        <v>811</v>
      </c>
      <c r="B29" t="s">
        <v>812</v>
      </c>
      <c r="C29" t="s">
        <v>806</v>
      </c>
      <c r="D29" t="s">
        <v>785</v>
      </c>
    </row>
    <row r="30" spans="1:4">
      <c r="A30" t="s">
        <v>813</v>
      </c>
      <c r="B30" t="s">
        <v>814</v>
      </c>
      <c r="C30" t="s">
        <v>806</v>
      </c>
      <c r="D30" t="s">
        <v>785</v>
      </c>
    </row>
    <row r="31" spans="1:4">
      <c r="A31" t="s">
        <v>815</v>
      </c>
      <c r="B31" t="s">
        <v>816</v>
      </c>
      <c r="C31" t="s">
        <v>806</v>
      </c>
      <c r="D31" t="s">
        <v>785</v>
      </c>
    </row>
    <row r="33" spans="1:6" ht="16.5">
      <c r="A33" s="162" t="s">
        <v>817</v>
      </c>
      <c r="B33" s="153"/>
      <c r="C33" s="153"/>
      <c r="D33" s="153"/>
      <c r="E33" s="153"/>
      <c r="F33" s="153"/>
    </row>
    <row r="34" spans="1:6" ht="15">
      <c r="A34" s="163" t="s">
        <v>818</v>
      </c>
      <c r="B34" s="163" t="s">
        <v>819</v>
      </c>
      <c r="C34" s="163" t="s">
        <v>820</v>
      </c>
    </row>
    <row r="35" spans="1:6">
      <c r="A35" t="s">
        <v>821</v>
      </c>
      <c r="B35" t="s">
        <v>626</v>
      </c>
      <c r="C35" t="s">
        <v>822</v>
      </c>
    </row>
    <row r="36" spans="1:6">
      <c r="A36" t="s">
        <v>823</v>
      </c>
      <c r="B36" s="149">
        <v>0.2</v>
      </c>
      <c r="C36" t="s">
        <v>824</v>
      </c>
    </row>
    <row r="37" spans="1:6">
      <c r="A37" t="s">
        <v>825</v>
      </c>
      <c r="B37" s="164">
        <v>3</v>
      </c>
      <c r="C37" t="s">
        <v>826</v>
      </c>
    </row>
    <row r="38" spans="1:6">
      <c r="A38" t="s">
        <v>827</v>
      </c>
      <c r="B38" t="s">
        <v>828</v>
      </c>
      <c r="C38" t="s">
        <v>829</v>
      </c>
    </row>
    <row r="39" spans="1:6">
      <c r="A39" t="s">
        <v>830</v>
      </c>
      <c r="B39" s="149">
        <v>1</v>
      </c>
      <c r="C39" t="s">
        <v>831</v>
      </c>
    </row>
    <row r="40" spans="1:6">
      <c r="A40" t="s">
        <v>832</v>
      </c>
      <c r="B40" t="s">
        <v>833</v>
      </c>
      <c r="C40" t="s">
        <v>834</v>
      </c>
    </row>
    <row r="41" spans="1:6">
      <c r="A41" t="s">
        <v>835</v>
      </c>
      <c r="B41" t="s">
        <v>836</v>
      </c>
      <c r="C41" t="s">
        <v>837</v>
      </c>
    </row>
    <row r="42" spans="1:6">
      <c r="A42" t="s">
        <v>838</v>
      </c>
      <c r="B42" s="149">
        <v>0.08</v>
      </c>
      <c r="C42" t="s">
        <v>839</v>
      </c>
    </row>
    <row r="43" spans="1:6">
      <c r="A43" t="s">
        <v>640</v>
      </c>
      <c r="B43" s="149">
        <v>0.02</v>
      </c>
      <c r="C43" t="s">
        <v>840</v>
      </c>
    </row>
    <row r="44" spans="1:6">
      <c r="A44" t="s">
        <v>841</v>
      </c>
      <c r="B44" t="s">
        <v>842</v>
      </c>
      <c r="C44" t="s">
        <v>843</v>
      </c>
    </row>
    <row r="45" spans="1:6">
      <c r="A45" t="s">
        <v>641</v>
      </c>
      <c r="B45" s="149">
        <v>0.06</v>
      </c>
      <c r="C45" t="s">
        <v>844</v>
      </c>
    </row>
    <row r="46" spans="1:6">
      <c r="A46" t="s">
        <v>845</v>
      </c>
      <c r="B46" t="s">
        <v>846</v>
      </c>
      <c r="C46" t="s">
        <v>847</v>
      </c>
    </row>
    <row r="47" spans="1:6">
      <c r="A47" t="s">
        <v>848</v>
      </c>
      <c r="B47" s="149">
        <v>0.19</v>
      </c>
      <c r="C47" t="s">
        <v>849</v>
      </c>
    </row>
    <row r="48" spans="1:6">
      <c r="A48" t="s">
        <v>850</v>
      </c>
      <c r="B48" t="s">
        <v>851</v>
      </c>
      <c r="C48" t="s">
        <v>852</v>
      </c>
    </row>
    <row r="49" spans="1:6">
      <c r="A49" t="s">
        <v>853</v>
      </c>
      <c r="B49" s="149" t="s">
        <v>854</v>
      </c>
      <c r="C49" t="s">
        <v>855</v>
      </c>
    </row>
    <row r="51" spans="1:6" ht="16.5">
      <c r="A51" s="162" t="s">
        <v>1259</v>
      </c>
      <c r="B51" s="153"/>
      <c r="C51" s="153"/>
      <c r="D51" s="153"/>
      <c r="E51" s="153"/>
      <c r="F51" s="153"/>
    </row>
    <row r="52" spans="1:6" ht="15">
      <c r="A52" s="163" t="s">
        <v>856</v>
      </c>
      <c r="B52" s="163" t="s">
        <v>819</v>
      </c>
    </row>
    <row r="53" spans="1:6">
      <c r="A53" t="s">
        <v>662</v>
      </c>
      <c r="B53" t="s">
        <v>1249</v>
      </c>
    </row>
    <row r="54" spans="1:6">
      <c r="A54" t="s">
        <v>664</v>
      </c>
      <c r="B54" t="s">
        <v>1250</v>
      </c>
    </row>
    <row r="55" spans="1:6">
      <c r="A55" t="s">
        <v>857</v>
      </c>
      <c r="B55" t="s">
        <v>1251</v>
      </c>
    </row>
    <row r="56" spans="1:6">
      <c r="A56" t="s">
        <v>674</v>
      </c>
      <c r="B56" s="150" t="s">
        <v>1252</v>
      </c>
    </row>
    <row r="57" spans="1:6">
      <c r="A57" t="s">
        <v>688</v>
      </c>
      <c r="B57" s="150" t="s">
        <v>1253</v>
      </c>
    </row>
    <row r="58" spans="1:6">
      <c r="A58" t="s">
        <v>858</v>
      </c>
      <c r="B58" t="s">
        <v>1254</v>
      </c>
    </row>
    <row r="59" spans="1:6">
      <c r="A59" t="s">
        <v>859</v>
      </c>
      <c r="B59" t="s">
        <v>1255</v>
      </c>
    </row>
    <row r="60" spans="1:6">
      <c r="A60" t="s">
        <v>860</v>
      </c>
      <c r="B60" t="s">
        <v>1256</v>
      </c>
    </row>
    <row r="61" spans="1:6">
      <c r="A61" t="s">
        <v>861</v>
      </c>
      <c r="B61" t="s">
        <v>1256</v>
      </c>
    </row>
    <row r="62" spans="1:6">
      <c r="A62" t="s">
        <v>862</v>
      </c>
      <c r="B62" t="s">
        <v>1257</v>
      </c>
    </row>
    <row r="63" spans="1:6">
      <c r="A63" t="s">
        <v>863</v>
      </c>
      <c r="B63" t="s">
        <v>1258</v>
      </c>
    </row>
    <row r="65" spans="1:6" ht="16.5">
      <c r="A65" s="162" t="s">
        <v>864</v>
      </c>
      <c r="B65" s="153"/>
      <c r="C65" s="153"/>
      <c r="D65" s="153"/>
      <c r="E65" s="153"/>
      <c r="F65" s="153"/>
    </row>
    <row r="66" spans="1:6">
      <c r="A66" t="s">
        <v>865</v>
      </c>
    </row>
    <row r="67" spans="1:6">
      <c r="A67" t="s">
        <v>866</v>
      </c>
    </row>
    <row r="68" spans="1:6">
      <c r="A68" t="s">
        <v>867</v>
      </c>
    </row>
    <row r="69" spans="1:6">
      <c r="A69" t="s">
        <v>868</v>
      </c>
    </row>
    <row r="70" spans="1:6">
      <c r="A70" t="s">
        <v>869</v>
      </c>
    </row>
    <row r="71" spans="1:6">
      <c r="A71" t="s">
        <v>870</v>
      </c>
    </row>
    <row r="72" spans="1:6">
      <c r="A72" t="s">
        <v>871</v>
      </c>
    </row>
    <row r="73" spans="1:6">
      <c r="A73" t="s">
        <v>872</v>
      </c>
    </row>
    <row r="75" spans="1:6" ht="16.5">
      <c r="A75" s="165" t="s">
        <v>873</v>
      </c>
      <c r="B75" s="166"/>
      <c r="C75" s="166"/>
      <c r="D75" s="166"/>
      <c r="E75" s="166"/>
      <c r="F75" s="166"/>
    </row>
    <row r="76" spans="1:6" ht="15">
      <c r="A76" s="167" t="s">
        <v>874</v>
      </c>
      <c r="B76" s="167" t="s">
        <v>875</v>
      </c>
      <c r="C76" s="167" t="s">
        <v>703</v>
      </c>
    </row>
    <row r="77" spans="1:6" ht="15">
      <c r="A77" t="s">
        <v>876</v>
      </c>
      <c r="B77" t="s">
        <v>877</v>
      </c>
      <c r="C77" s="168" t="s">
        <v>878</v>
      </c>
    </row>
    <row r="78" spans="1:6" ht="15">
      <c r="A78" t="s">
        <v>879</v>
      </c>
      <c r="B78" t="s">
        <v>880</v>
      </c>
      <c r="C78" s="610" t="s">
        <v>1971</v>
      </c>
    </row>
    <row r="79" spans="1:6" ht="15">
      <c r="A79" t="s">
        <v>881</v>
      </c>
      <c r="B79" t="s">
        <v>882</v>
      </c>
      <c r="C79" s="610" t="s">
        <v>1387</v>
      </c>
    </row>
    <row r="80" spans="1:6" ht="15">
      <c r="A80" t="s">
        <v>883</v>
      </c>
      <c r="B80" t="s">
        <v>884</v>
      </c>
      <c r="C80" s="610" t="s">
        <v>1972</v>
      </c>
    </row>
    <row r="81" spans="1:6" ht="15">
      <c r="A81" t="s">
        <v>885</v>
      </c>
      <c r="B81" t="s">
        <v>886</v>
      </c>
      <c r="C81" s="168" t="s">
        <v>878</v>
      </c>
    </row>
    <row r="82" spans="1:6" ht="15">
      <c r="A82" t="s">
        <v>887</v>
      </c>
      <c r="B82" t="s">
        <v>888</v>
      </c>
      <c r="C82" s="610" t="s">
        <v>1973</v>
      </c>
    </row>
    <row r="83" spans="1:6" ht="15">
      <c r="A83" t="s">
        <v>889</v>
      </c>
      <c r="B83" t="s">
        <v>890</v>
      </c>
      <c r="C83" s="168" t="s">
        <v>878</v>
      </c>
    </row>
    <row r="84" spans="1:6" ht="15">
      <c r="A84" t="s">
        <v>891</v>
      </c>
      <c r="B84" t="s">
        <v>892</v>
      </c>
      <c r="C84" s="610" t="s">
        <v>1974</v>
      </c>
    </row>
    <row r="86" spans="1:6" ht="16.5">
      <c r="A86" s="162" t="s">
        <v>893</v>
      </c>
      <c r="B86" s="153"/>
      <c r="C86" s="153"/>
      <c r="D86" s="153"/>
      <c r="E86" s="153"/>
      <c r="F86" s="153"/>
    </row>
    <row r="87" spans="1:6" ht="15">
      <c r="A87" s="163" t="s">
        <v>894</v>
      </c>
      <c r="B87" s="163" t="s">
        <v>895</v>
      </c>
      <c r="C87" s="169" t="s">
        <v>896</v>
      </c>
    </row>
    <row r="88" spans="1:6">
      <c r="A88" s="170">
        <v>46088</v>
      </c>
      <c r="B88" t="s">
        <v>897</v>
      </c>
      <c r="C88" t="s">
        <v>898</v>
      </c>
    </row>
    <row r="89" spans="1:6">
      <c r="B89" t="s">
        <v>899</v>
      </c>
      <c r="C89" t="s">
        <v>900</v>
      </c>
    </row>
    <row r="90" spans="1:6">
      <c r="A90" s="170">
        <v>46088</v>
      </c>
      <c r="B90" t="s">
        <v>964</v>
      </c>
      <c r="C90" t="s">
        <v>965</v>
      </c>
    </row>
    <row r="91" spans="1:6">
      <c r="A91">
        <v>46088</v>
      </c>
      <c r="B91" t="s">
        <v>966</v>
      </c>
      <c r="C91" t="s">
        <v>967</v>
      </c>
    </row>
    <row r="92" spans="1:6" ht="16.5">
      <c r="A92" s="172">
        <v>46088</v>
      </c>
      <c r="B92" s="153" t="s">
        <v>1063</v>
      </c>
      <c r="C92" s="153" t="s">
        <v>1064</v>
      </c>
      <c r="D92" s="153"/>
      <c r="E92" s="153"/>
      <c r="F92" s="153"/>
    </row>
    <row r="93" spans="1:6" ht="16.5">
      <c r="A93" s="179">
        <v>46088</v>
      </c>
      <c r="B93" s="153" t="s">
        <v>1135</v>
      </c>
      <c r="C93" s="153" t="s">
        <v>1136</v>
      </c>
      <c r="D93" s="153"/>
      <c r="E93" s="153"/>
      <c r="F93" s="153"/>
    </row>
    <row r="94" spans="1:6" ht="15">
      <c r="A94" s="168">
        <v>46093</v>
      </c>
      <c r="B94" t="s">
        <v>1231</v>
      </c>
      <c r="C94" t="s">
        <v>1232</v>
      </c>
    </row>
    <row r="95" spans="1:6">
      <c r="A95">
        <v>46098</v>
      </c>
      <c r="B95" t="s">
        <v>1243</v>
      </c>
      <c r="C95" t="s">
        <v>1244</v>
      </c>
    </row>
    <row r="96" spans="1:6">
      <c r="A96">
        <v>46098</v>
      </c>
      <c r="B96" t="s">
        <v>1351</v>
      </c>
      <c r="C96" t="s">
        <v>1352</v>
      </c>
    </row>
    <row r="97" spans="1:6">
      <c r="A97" s="251">
        <v>46098</v>
      </c>
      <c r="B97" s="244" t="s">
        <v>1521</v>
      </c>
      <c r="C97" s="244" t="s">
        <v>1522</v>
      </c>
    </row>
    <row r="98" spans="1:6">
      <c r="A98" s="251">
        <v>46098</v>
      </c>
      <c r="B98" s="244" t="s">
        <v>1523</v>
      </c>
      <c r="C98" s="244" t="s">
        <v>1524</v>
      </c>
    </row>
    <row r="99" spans="1:6">
      <c r="A99" s="209" t="s">
        <v>901</v>
      </c>
    </row>
    <row r="100" spans="1:6">
      <c r="A100" t="s">
        <v>902</v>
      </c>
    </row>
    <row r="101" spans="1:6" ht="16.5">
      <c r="A101" s="162" t="s">
        <v>903</v>
      </c>
      <c r="B101" s="153"/>
      <c r="C101" s="153"/>
      <c r="D101" s="153"/>
      <c r="E101" s="153"/>
      <c r="F101" s="153"/>
    </row>
    <row r="102" spans="1:6">
      <c r="A102" s="161" t="s">
        <v>904</v>
      </c>
    </row>
    <row r="103" spans="1:6">
      <c r="A103" s="161" t="s">
        <v>905</v>
      </c>
    </row>
    <row r="105" spans="1:6" ht="15">
      <c r="A105" s="163" t="s">
        <v>906</v>
      </c>
      <c r="B105" s="163" t="s">
        <v>907</v>
      </c>
      <c r="C105" s="163" t="s">
        <v>908</v>
      </c>
      <c r="D105" s="163" t="s">
        <v>820</v>
      </c>
    </row>
    <row r="106" spans="1:6">
      <c r="A106" t="s">
        <v>909</v>
      </c>
      <c r="B106" t="s">
        <v>910</v>
      </c>
      <c r="C106" t="s">
        <v>911</v>
      </c>
      <c r="D106" t="s">
        <v>912</v>
      </c>
    </row>
    <row r="107" spans="1:6">
      <c r="A107" t="s">
        <v>913</v>
      </c>
      <c r="B107" t="s">
        <v>914</v>
      </c>
      <c r="C107" t="s">
        <v>915</v>
      </c>
      <c r="D107" t="s">
        <v>916</v>
      </c>
    </row>
    <row r="108" spans="1:6" ht="15">
      <c r="A108" s="11" t="s">
        <v>917</v>
      </c>
      <c r="B108" s="11" t="s">
        <v>918</v>
      </c>
      <c r="C108" s="11" t="s">
        <v>919</v>
      </c>
      <c r="D108" s="11" t="s">
        <v>920</v>
      </c>
    </row>
    <row r="109" spans="1:6">
      <c r="A109" t="s">
        <v>921</v>
      </c>
      <c r="B109" t="s">
        <v>922</v>
      </c>
      <c r="C109" t="s">
        <v>923</v>
      </c>
      <c r="D109" t="s">
        <v>924</v>
      </c>
    </row>
    <row r="110" spans="1:6" ht="15">
      <c r="A110" s="168" t="s">
        <v>925</v>
      </c>
      <c r="B110" s="168" t="s">
        <v>926</v>
      </c>
      <c r="C110" s="168" t="s">
        <v>927</v>
      </c>
      <c r="D110" s="168" t="s">
        <v>928</v>
      </c>
    </row>
    <row r="112" spans="1:6" ht="16.5">
      <c r="A112" s="162" t="s">
        <v>929</v>
      </c>
      <c r="B112" s="153"/>
      <c r="C112" s="153"/>
      <c r="D112" s="153"/>
      <c r="E112" s="153"/>
      <c r="F112" s="153"/>
    </row>
    <row r="113" spans="1:3">
      <c r="A113" s="161" t="s">
        <v>930</v>
      </c>
    </row>
    <row r="114" spans="1:3">
      <c r="A114" s="161" t="s">
        <v>931</v>
      </c>
    </row>
    <row r="116" spans="1:3" ht="15">
      <c r="A116" s="163" t="s">
        <v>932</v>
      </c>
      <c r="B116" s="163" t="s">
        <v>933</v>
      </c>
      <c r="C116" s="163" t="s">
        <v>934</v>
      </c>
    </row>
    <row r="117" spans="1:3">
      <c r="A117" t="s">
        <v>935</v>
      </c>
      <c r="B117" t="s">
        <v>936</v>
      </c>
      <c r="C117" t="s">
        <v>937</v>
      </c>
    </row>
    <row r="118" spans="1:3">
      <c r="A118" t="s">
        <v>938</v>
      </c>
      <c r="B118" t="s">
        <v>939</v>
      </c>
      <c r="C118" t="s">
        <v>940</v>
      </c>
    </row>
    <row r="119" spans="1:3">
      <c r="A119" t="s">
        <v>941</v>
      </c>
      <c r="B119" t="s">
        <v>942</v>
      </c>
      <c r="C119" t="s">
        <v>943</v>
      </c>
    </row>
    <row r="120" spans="1:3">
      <c r="A120" t="s">
        <v>944</v>
      </c>
      <c r="B120" t="s">
        <v>945</v>
      </c>
      <c r="C120" t="s">
        <v>946</v>
      </c>
    </row>
    <row r="121" spans="1:3">
      <c r="A121" t="s">
        <v>947</v>
      </c>
      <c r="B121" t="s">
        <v>948</v>
      </c>
      <c r="C121" t="s">
        <v>949</v>
      </c>
    </row>
    <row r="122" spans="1:3">
      <c r="A122" t="s">
        <v>950</v>
      </c>
      <c r="B122" t="s">
        <v>951</v>
      </c>
      <c r="C122" t="s">
        <v>952</v>
      </c>
    </row>
    <row r="123" spans="1:3">
      <c r="A123" t="s">
        <v>953</v>
      </c>
      <c r="B123" t="s">
        <v>954</v>
      </c>
      <c r="C123" t="s">
        <v>955</v>
      </c>
    </row>
    <row r="125" spans="1:3" ht="15">
      <c r="A125" s="163" t="s">
        <v>956</v>
      </c>
      <c r="B125" s="160"/>
      <c r="C125" s="160"/>
    </row>
    <row r="126" spans="1:3">
      <c r="A126" t="s">
        <v>957</v>
      </c>
    </row>
    <row r="127" spans="1:3">
      <c r="A127" t="s">
        <v>958</v>
      </c>
    </row>
    <row r="128" spans="1:3">
      <c r="A128" t="s">
        <v>959</v>
      </c>
    </row>
    <row r="129" spans="1:6">
      <c r="A129" t="s">
        <v>960</v>
      </c>
    </row>
    <row r="130" spans="1:6">
      <c r="A130" t="s">
        <v>961</v>
      </c>
    </row>
    <row r="131" spans="1:6">
      <c r="A131" t="s">
        <v>962</v>
      </c>
    </row>
    <row r="132" spans="1:6">
      <c r="A132" t="s">
        <v>963</v>
      </c>
    </row>
    <row r="133" spans="1:6" ht="16.5">
      <c r="A133" s="162" t="s">
        <v>968</v>
      </c>
      <c r="B133" s="153"/>
      <c r="C133" s="153"/>
      <c r="D133" s="153"/>
      <c r="E133" s="153"/>
      <c r="F133" s="153"/>
    </row>
    <row r="134" spans="1:6">
      <c r="A134" s="161" t="s">
        <v>972</v>
      </c>
    </row>
    <row r="135" spans="1:6">
      <c r="A135" s="161" t="s">
        <v>973</v>
      </c>
    </row>
    <row r="137" spans="1:6" ht="15">
      <c r="A137" s="163" t="s">
        <v>974</v>
      </c>
      <c r="B137" s="163" t="s">
        <v>819</v>
      </c>
      <c r="C137" s="163" t="s">
        <v>908</v>
      </c>
      <c r="D137" s="163" t="s">
        <v>820</v>
      </c>
    </row>
    <row r="138" spans="1:6">
      <c r="A138" s="101"/>
      <c r="B138" s="101" t="s">
        <v>975</v>
      </c>
    </row>
    <row r="139" spans="1:6">
      <c r="A139" t="s">
        <v>976</v>
      </c>
      <c r="B139" t="s">
        <v>977</v>
      </c>
      <c r="C139" t="s">
        <v>978</v>
      </c>
      <c r="D139" t="s">
        <v>979</v>
      </c>
    </row>
    <row r="140" spans="1:6">
      <c r="A140" t="s">
        <v>980</v>
      </c>
      <c r="B140" t="s">
        <v>981</v>
      </c>
      <c r="C140" t="s">
        <v>982</v>
      </c>
      <c r="D140" t="s">
        <v>983</v>
      </c>
    </row>
    <row r="141" spans="1:6">
      <c r="A141" t="s">
        <v>984</v>
      </c>
      <c r="B141" t="s">
        <v>981</v>
      </c>
      <c r="C141" t="s">
        <v>985</v>
      </c>
      <c r="D141" t="s">
        <v>986</v>
      </c>
    </row>
    <row r="142" spans="1:6">
      <c r="A142" t="s">
        <v>970</v>
      </c>
      <c r="B142" t="s">
        <v>987</v>
      </c>
      <c r="C142" t="s">
        <v>971</v>
      </c>
      <c r="D142" t="s">
        <v>988</v>
      </c>
    </row>
    <row r="143" spans="1:6">
      <c r="A143" t="s">
        <v>989</v>
      </c>
      <c r="B143" t="s">
        <v>990</v>
      </c>
      <c r="C143" t="s">
        <v>969</v>
      </c>
      <c r="D143" t="s">
        <v>991</v>
      </c>
    </row>
    <row r="144" spans="1:6">
      <c r="A144" t="s">
        <v>992</v>
      </c>
      <c r="B144" t="s">
        <v>993</v>
      </c>
      <c r="C144" t="s">
        <v>994</v>
      </c>
      <c r="D144" t="s">
        <v>995</v>
      </c>
    </row>
    <row r="145" spans="1:4">
      <c r="A145" t="s">
        <v>996</v>
      </c>
      <c r="B145" t="s">
        <v>997</v>
      </c>
      <c r="C145" t="s">
        <v>998</v>
      </c>
      <c r="D145" t="s">
        <v>999</v>
      </c>
    </row>
    <row r="146" spans="1:4">
      <c r="A146" t="s">
        <v>1000</v>
      </c>
      <c r="B146" t="s">
        <v>1001</v>
      </c>
      <c r="C146" t="s">
        <v>998</v>
      </c>
      <c r="D146" t="s">
        <v>1002</v>
      </c>
    </row>
    <row r="147" spans="1:4">
      <c r="A147" t="s">
        <v>1003</v>
      </c>
      <c r="B147" t="s">
        <v>1004</v>
      </c>
      <c r="C147" t="s">
        <v>998</v>
      </c>
      <c r="D147" t="s">
        <v>1005</v>
      </c>
    </row>
    <row r="148" spans="1:4">
      <c r="A148" t="s">
        <v>1006</v>
      </c>
      <c r="B148" t="s">
        <v>1007</v>
      </c>
      <c r="C148" t="s">
        <v>998</v>
      </c>
      <c r="D148" t="s">
        <v>1008</v>
      </c>
    </row>
    <row r="149" spans="1:4">
      <c r="A149" t="s">
        <v>1009</v>
      </c>
      <c r="B149" t="s">
        <v>1010</v>
      </c>
      <c r="C149" t="s">
        <v>1011</v>
      </c>
      <c r="D149" t="s">
        <v>1012</v>
      </c>
    </row>
    <row r="150" spans="1:4">
      <c r="A150" t="s">
        <v>1013</v>
      </c>
      <c r="B150" t="s">
        <v>1014</v>
      </c>
      <c r="C150" t="s">
        <v>1015</v>
      </c>
      <c r="D150" t="s">
        <v>1016</v>
      </c>
    </row>
    <row r="152" spans="1:4">
      <c r="A152" s="101"/>
      <c r="B152" s="101" t="s">
        <v>1017</v>
      </c>
    </row>
    <row r="153" spans="1:4">
      <c r="A153" t="s">
        <v>1018</v>
      </c>
      <c r="B153" t="s">
        <v>1019</v>
      </c>
      <c r="C153" t="s">
        <v>1020</v>
      </c>
      <c r="D153" t="s">
        <v>1021</v>
      </c>
    </row>
    <row r="154" spans="1:4">
      <c r="A154" t="s">
        <v>1022</v>
      </c>
      <c r="B154" t="s">
        <v>1023</v>
      </c>
      <c r="C154" t="s">
        <v>1011</v>
      </c>
      <c r="D154" t="s">
        <v>1024</v>
      </c>
    </row>
    <row r="155" spans="1:4">
      <c r="A155" t="s">
        <v>1025</v>
      </c>
      <c r="B155" t="s">
        <v>1026</v>
      </c>
      <c r="C155" t="s">
        <v>1027</v>
      </c>
      <c r="D155" t="s">
        <v>1028</v>
      </c>
    </row>
    <row r="156" spans="1:4">
      <c r="A156" t="s">
        <v>1029</v>
      </c>
      <c r="B156" t="s">
        <v>1030</v>
      </c>
      <c r="C156" t="s">
        <v>1031</v>
      </c>
      <c r="D156" t="s">
        <v>1032</v>
      </c>
    </row>
    <row r="157" spans="1:4">
      <c r="A157" t="s">
        <v>1033</v>
      </c>
      <c r="B157" t="s">
        <v>1034</v>
      </c>
      <c r="C157" t="s">
        <v>1031</v>
      </c>
      <c r="D157" t="s">
        <v>1035</v>
      </c>
    </row>
    <row r="158" spans="1:4">
      <c r="A158" t="s">
        <v>1036</v>
      </c>
      <c r="B158" t="s">
        <v>1037</v>
      </c>
      <c r="C158" t="s">
        <v>1038</v>
      </c>
      <c r="D158" t="s">
        <v>1039</v>
      </c>
    </row>
    <row r="159" spans="1:4">
      <c r="A159" t="s">
        <v>1040</v>
      </c>
      <c r="B159" t="s">
        <v>1041</v>
      </c>
      <c r="C159" t="s">
        <v>1038</v>
      </c>
      <c r="D159" t="s">
        <v>1042</v>
      </c>
    </row>
    <row r="161" spans="1:4">
      <c r="A161" s="173" t="s">
        <v>956</v>
      </c>
      <c r="B161" s="154"/>
      <c r="C161" s="154"/>
      <c r="D161" s="154"/>
    </row>
    <row r="162" spans="1:4">
      <c r="A162" t="s">
        <v>1043</v>
      </c>
      <c r="B162" s="1" t="s">
        <v>1044</v>
      </c>
    </row>
    <row r="163" spans="1:4">
      <c r="A163" t="s">
        <v>1045</v>
      </c>
      <c r="B163" s="1" t="s">
        <v>1046</v>
      </c>
    </row>
    <row r="164" spans="1:4">
      <c r="A164" t="s">
        <v>1047</v>
      </c>
      <c r="B164" s="1" t="s">
        <v>1048</v>
      </c>
    </row>
    <row r="165" spans="1:4">
      <c r="A165" t="s">
        <v>1049</v>
      </c>
      <c r="B165" s="1" t="s">
        <v>1050</v>
      </c>
    </row>
    <row r="166" spans="1:4">
      <c r="A166" t="s">
        <v>1051</v>
      </c>
      <c r="B166" s="1" t="s">
        <v>1052</v>
      </c>
    </row>
    <row r="168" spans="1:4" ht="15">
      <c r="A168" s="11" t="s">
        <v>1053</v>
      </c>
    </row>
    <row r="169" spans="1:4">
      <c r="A169" t="s">
        <v>1054</v>
      </c>
      <c r="B169" s="1" t="s">
        <v>1055</v>
      </c>
    </row>
    <row r="171" spans="1:4" ht="15">
      <c r="A171" s="11" t="s">
        <v>1056</v>
      </c>
    </row>
    <row r="172" spans="1:4">
      <c r="A172" t="s">
        <v>1057</v>
      </c>
      <c r="B172" s="1" t="s">
        <v>1058</v>
      </c>
    </row>
    <row r="173" spans="1:4">
      <c r="A173" t="s">
        <v>1059</v>
      </c>
      <c r="B173" s="1" t="s">
        <v>1060</v>
      </c>
    </row>
    <row r="174" spans="1:4">
      <c r="A174" t="s">
        <v>1061</v>
      </c>
      <c r="B174" s="1" t="s">
        <v>1062</v>
      </c>
    </row>
    <row r="177" spans="1:3" ht="16.5">
      <c r="A177" s="162" t="s">
        <v>1065</v>
      </c>
      <c r="B177" s="153"/>
      <c r="C177" s="153"/>
    </row>
    <row r="178" spans="1:3">
      <c r="A178" s="161" t="s">
        <v>1066</v>
      </c>
    </row>
    <row r="179" spans="1:3">
      <c r="A179" s="161" t="s">
        <v>1067</v>
      </c>
    </row>
    <row r="181" spans="1:3">
      <c r="A181" s="174" t="s">
        <v>1068</v>
      </c>
      <c r="B181" s="155"/>
      <c r="C181" s="155"/>
    </row>
    <row r="182" spans="1:3">
      <c r="A182" t="s">
        <v>1069</v>
      </c>
      <c r="B182" t="s">
        <v>1070</v>
      </c>
    </row>
    <row r="183" spans="1:3">
      <c r="A183" t="s">
        <v>1071</v>
      </c>
      <c r="B183" t="s">
        <v>1072</v>
      </c>
    </row>
    <row r="184" spans="1:3">
      <c r="A184" t="s">
        <v>1073</v>
      </c>
      <c r="B184" t="s">
        <v>1074</v>
      </c>
    </row>
    <row r="185" spans="1:3">
      <c r="A185" t="s">
        <v>1075</v>
      </c>
      <c r="B185" t="s">
        <v>1076</v>
      </c>
    </row>
    <row r="187" spans="1:3">
      <c r="A187" s="175" t="s">
        <v>1077</v>
      </c>
      <c r="B187" s="156"/>
      <c r="C187" s="175" t="s">
        <v>1134</v>
      </c>
    </row>
    <row r="188" spans="1:3">
      <c r="A188" t="s">
        <v>1078</v>
      </c>
      <c r="B188" t="s">
        <v>1079</v>
      </c>
      <c r="C188" t="s">
        <v>1080</v>
      </c>
    </row>
    <row r="189" spans="1:3">
      <c r="A189" t="s">
        <v>1081</v>
      </c>
      <c r="B189" t="s">
        <v>1082</v>
      </c>
      <c r="C189" t="s">
        <v>1083</v>
      </c>
    </row>
    <row r="190" spans="1:3">
      <c r="A190" t="s">
        <v>1084</v>
      </c>
      <c r="B190" t="s">
        <v>1085</v>
      </c>
      <c r="C190" t="s">
        <v>1086</v>
      </c>
    </row>
    <row r="191" spans="1:3">
      <c r="A191" t="s">
        <v>1087</v>
      </c>
      <c r="B191" t="s">
        <v>1088</v>
      </c>
      <c r="C191" t="s">
        <v>1089</v>
      </c>
    </row>
    <row r="192" spans="1:3">
      <c r="A192" t="s">
        <v>1090</v>
      </c>
      <c r="B192" t="s">
        <v>1091</v>
      </c>
      <c r="C192" t="s">
        <v>1092</v>
      </c>
    </row>
    <row r="194" spans="1:4">
      <c r="A194" s="176" t="s">
        <v>1093</v>
      </c>
      <c r="B194" s="177"/>
      <c r="C194" s="176" t="s">
        <v>1134</v>
      </c>
    </row>
    <row r="195" spans="1:4">
      <c r="A195" t="s">
        <v>1094</v>
      </c>
      <c r="B195" t="s">
        <v>1095</v>
      </c>
      <c r="C195" t="s">
        <v>1096</v>
      </c>
    </row>
    <row r="196" spans="1:4">
      <c r="A196" t="s">
        <v>1097</v>
      </c>
      <c r="B196" t="s">
        <v>1098</v>
      </c>
      <c r="C196" t="s">
        <v>1099</v>
      </c>
    </row>
    <row r="197" spans="1:4">
      <c r="A197" t="s">
        <v>1100</v>
      </c>
      <c r="B197" t="s">
        <v>1101</v>
      </c>
      <c r="C197" t="s">
        <v>1102</v>
      </c>
    </row>
    <row r="198" spans="1:4">
      <c r="A198" t="s">
        <v>1103</v>
      </c>
      <c r="B198" t="s">
        <v>1104</v>
      </c>
      <c r="C198" t="s">
        <v>1105</v>
      </c>
    </row>
    <row r="200" spans="1:4">
      <c r="A200" s="178" t="s">
        <v>1106</v>
      </c>
      <c r="B200" s="160"/>
      <c r="C200" s="160"/>
    </row>
    <row r="201" spans="1:4" ht="15">
      <c r="A201" s="163" t="s">
        <v>1107</v>
      </c>
      <c r="B201" s="163" t="s">
        <v>874</v>
      </c>
      <c r="C201" s="163" t="s">
        <v>1108</v>
      </c>
      <c r="D201" s="163" t="s">
        <v>703</v>
      </c>
    </row>
    <row r="202" spans="1:4">
      <c r="A202" t="s">
        <v>1109</v>
      </c>
      <c r="B202" t="s">
        <v>1110</v>
      </c>
      <c r="C202" t="s">
        <v>1111</v>
      </c>
      <c r="D202" t="s">
        <v>1386</v>
      </c>
    </row>
    <row r="203" spans="1:4">
      <c r="A203" t="s">
        <v>1109</v>
      </c>
      <c r="B203" t="s">
        <v>1112</v>
      </c>
      <c r="C203" t="s">
        <v>1113</v>
      </c>
      <c r="D203" t="s">
        <v>1245</v>
      </c>
    </row>
    <row r="204" spans="1:4">
      <c r="A204" t="s">
        <v>1109</v>
      </c>
      <c r="B204" t="s">
        <v>1114</v>
      </c>
      <c r="C204" t="s">
        <v>1115</v>
      </c>
      <c r="D204" t="s">
        <v>1246</v>
      </c>
    </row>
    <row r="205" spans="1:4">
      <c r="A205" t="s">
        <v>1109</v>
      </c>
      <c r="B205" t="s">
        <v>1116</v>
      </c>
      <c r="C205" t="s">
        <v>1117</v>
      </c>
      <c r="D205" t="s">
        <v>878</v>
      </c>
    </row>
    <row r="206" spans="1:4">
      <c r="A206" t="s">
        <v>1118</v>
      </c>
      <c r="B206" t="s">
        <v>1119</v>
      </c>
      <c r="C206" t="s">
        <v>1120</v>
      </c>
      <c r="D206" t="s">
        <v>1247</v>
      </c>
    </row>
    <row r="207" spans="1:4">
      <c r="A207" t="s">
        <v>1118</v>
      </c>
      <c r="B207" t="s">
        <v>1121</v>
      </c>
      <c r="C207" t="s">
        <v>1122</v>
      </c>
      <c r="D207" t="s">
        <v>878</v>
      </c>
    </row>
    <row r="208" spans="1:4">
      <c r="A208" t="s">
        <v>1118</v>
      </c>
      <c r="B208" t="s">
        <v>1123</v>
      </c>
      <c r="C208" t="s">
        <v>1124</v>
      </c>
      <c r="D208" t="s">
        <v>878</v>
      </c>
    </row>
    <row r="209" spans="1:4">
      <c r="A209" t="s">
        <v>1118</v>
      </c>
      <c r="B209" t="s">
        <v>1125</v>
      </c>
      <c r="C209" t="s">
        <v>1126</v>
      </c>
      <c r="D209" t="s">
        <v>1248</v>
      </c>
    </row>
    <row r="210" spans="1:4">
      <c r="A210" t="s">
        <v>1127</v>
      </c>
      <c r="B210" t="s">
        <v>1128</v>
      </c>
      <c r="C210" t="s">
        <v>1129</v>
      </c>
      <c r="D210" t="s">
        <v>878</v>
      </c>
    </row>
    <row r="211" spans="1:4">
      <c r="A211" t="s">
        <v>1127</v>
      </c>
      <c r="B211" t="s">
        <v>1130</v>
      </c>
      <c r="C211" t="s">
        <v>1131</v>
      </c>
      <c r="D211" t="s">
        <v>878</v>
      </c>
    </row>
    <row r="212" spans="1:4">
      <c r="A212" t="s">
        <v>1127</v>
      </c>
      <c r="B212" t="s">
        <v>1132</v>
      </c>
      <c r="C212" t="s">
        <v>1133</v>
      </c>
      <c r="D212" t="s">
        <v>878</v>
      </c>
    </row>
    <row r="214" spans="1:4" ht="16.5">
      <c r="A214" s="208" t="s">
        <v>1137</v>
      </c>
      <c r="B214" s="208"/>
      <c r="C214" s="208"/>
      <c r="D214" s="208"/>
    </row>
    <row r="215" spans="1:4">
      <c r="A215" s="209" t="s">
        <v>1138</v>
      </c>
    </row>
    <row r="216" spans="1:4">
      <c r="A216" s="209" t="s">
        <v>1139</v>
      </c>
    </row>
    <row r="218" spans="1:4" ht="15">
      <c r="A218" s="11" t="s">
        <v>1140</v>
      </c>
    </row>
    <row r="219" spans="1:4" ht="15">
      <c r="A219" s="163" t="s">
        <v>818</v>
      </c>
      <c r="B219" s="163" t="s">
        <v>819</v>
      </c>
      <c r="C219" s="163" t="s">
        <v>1141</v>
      </c>
    </row>
    <row r="220" spans="1:4">
      <c r="A220" t="s">
        <v>1142</v>
      </c>
      <c r="B220" s="180">
        <v>3072000000</v>
      </c>
      <c r="C220" t="s">
        <v>1143</v>
      </c>
    </row>
    <row r="221" spans="1:4">
      <c r="A221" t="s">
        <v>1144</v>
      </c>
      <c r="B221" s="180">
        <v>6000000</v>
      </c>
      <c r="C221" t="s">
        <v>1145</v>
      </c>
    </row>
    <row r="222" spans="1:4">
      <c r="A222" t="s">
        <v>1146</v>
      </c>
      <c r="B222">
        <v>512</v>
      </c>
      <c r="C222" t="s">
        <v>1147</v>
      </c>
    </row>
    <row r="223" spans="1:4">
      <c r="A223" t="s">
        <v>1148</v>
      </c>
      <c r="B223">
        <v>72</v>
      </c>
      <c r="C223" t="s">
        <v>1149</v>
      </c>
    </row>
    <row r="224" spans="1:4">
      <c r="A224" t="s">
        <v>1150</v>
      </c>
      <c r="B224" s="10">
        <v>36864</v>
      </c>
      <c r="C224" t="s">
        <v>1151</v>
      </c>
    </row>
    <row r="225" spans="1:4">
      <c r="A225" t="s">
        <v>1152</v>
      </c>
      <c r="B225" s="10">
        <v>884736</v>
      </c>
      <c r="C225" t="s">
        <v>1153</v>
      </c>
    </row>
    <row r="226" spans="1:4">
      <c r="A226" t="s">
        <v>1154</v>
      </c>
      <c r="B226" t="s">
        <v>1155</v>
      </c>
      <c r="C226" t="s">
        <v>1156</v>
      </c>
    </row>
    <row r="227" spans="1:4">
      <c r="A227" t="s">
        <v>1157</v>
      </c>
      <c r="B227" t="s">
        <v>833</v>
      </c>
      <c r="C227" t="s">
        <v>1158</v>
      </c>
    </row>
    <row r="228" spans="1:4">
      <c r="A228" t="s">
        <v>1159</v>
      </c>
      <c r="B228" t="s">
        <v>1160</v>
      </c>
      <c r="C228" t="s">
        <v>1161</v>
      </c>
    </row>
    <row r="229" spans="1:4">
      <c r="A229" t="s">
        <v>1162</v>
      </c>
      <c r="B229" t="s">
        <v>1163</v>
      </c>
      <c r="C229" t="s">
        <v>1164</v>
      </c>
    </row>
    <row r="230" spans="1:4">
      <c r="A230" t="s">
        <v>1165</v>
      </c>
      <c r="B230" t="s">
        <v>1166</v>
      </c>
      <c r="C230" t="s">
        <v>1167</v>
      </c>
    </row>
    <row r="231" spans="1:4">
      <c r="A231" t="s">
        <v>1168</v>
      </c>
      <c r="B231" t="s">
        <v>1169</v>
      </c>
      <c r="C231" t="s">
        <v>1170</v>
      </c>
    </row>
    <row r="233" spans="1:4" ht="15">
      <c r="A233" s="11" t="s">
        <v>1171</v>
      </c>
    </row>
    <row r="235" spans="1:4" ht="15">
      <c r="A235" s="163" t="s">
        <v>906</v>
      </c>
      <c r="B235" s="163" t="s">
        <v>1172</v>
      </c>
      <c r="C235" s="163" t="s">
        <v>908</v>
      </c>
      <c r="D235" s="163" t="s">
        <v>820</v>
      </c>
    </row>
    <row r="236" spans="1:4">
      <c r="B236" s="101" t="s">
        <v>1173</v>
      </c>
    </row>
    <row r="237" spans="1:4">
      <c r="A237" t="s">
        <v>1174</v>
      </c>
      <c r="B237" t="s">
        <v>1175</v>
      </c>
      <c r="C237" t="s">
        <v>1176</v>
      </c>
      <c r="D237" t="s">
        <v>1177</v>
      </c>
    </row>
    <row r="238" spans="1:4">
      <c r="A238" t="s">
        <v>913</v>
      </c>
      <c r="B238" t="s">
        <v>1178</v>
      </c>
      <c r="C238" t="s">
        <v>1179</v>
      </c>
      <c r="D238" t="s">
        <v>1180</v>
      </c>
    </row>
    <row r="239" spans="1:4">
      <c r="A239" t="s">
        <v>1181</v>
      </c>
      <c r="B239" t="s">
        <v>1182</v>
      </c>
      <c r="C239" t="s">
        <v>1183</v>
      </c>
      <c r="D239" t="s">
        <v>1184</v>
      </c>
    </row>
    <row r="240" spans="1:4">
      <c r="A240" t="s">
        <v>1185</v>
      </c>
      <c r="B240" t="s">
        <v>1186</v>
      </c>
      <c r="C240" t="s">
        <v>1187</v>
      </c>
      <c r="D240" t="s">
        <v>1188</v>
      </c>
    </row>
    <row r="241" spans="1:4">
      <c r="B241" s="101" t="s">
        <v>1189</v>
      </c>
    </row>
    <row r="242" spans="1:4">
      <c r="A242" t="s">
        <v>1190</v>
      </c>
      <c r="B242" t="s">
        <v>1191</v>
      </c>
      <c r="C242" t="s">
        <v>1192</v>
      </c>
      <c r="D242" t="s">
        <v>1193</v>
      </c>
    </row>
    <row r="243" spans="1:4">
      <c r="A243" t="s">
        <v>1194</v>
      </c>
      <c r="B243" t="s">
        <v>1195</v>
      </c>
      <c r="C243" t="s">
        <v>1192</v>
      </c>
      <c r="D243" t="s">
        <v>1196</v>
      </c>
    </row>
    <row r="244" spans="1:4">
      <c r="A244" t="s">
        <v>1197</v>
      </c>
      <c r="B244" t="s">
        <v>1198</v>
      </c>
      <c r="C244" t="s">
        <v>1199</v>
      </c>
      <c r="D244" t="s">
        <v>1200</v>
      </c>
    </row>
    <row r="245" spans="1:4">
      <c r="A245" t="s">
        <v>1201</v>
      </c>
      <c r="B245" t="s">
        <v>1202</v>
      </c>
      <c r="C245" t="s">
        <v>1203</v>
      </c>
      <c r="D245" t="s">
        <v>1204</v>
      </c>
    </row>
    <row r="246" spans="1:4">
      <c r="B246" s="101" t="s">
        <v>1205</v>
      </c>
    </row>
    <row r="247" spans="1:4">
      <c r="A247" t="s">
        <v>1206</v>
      </c>
      <c r="B247" t="s">
        <v>1207</v>
      </c>
      <c r="C247" t="s">
        <v>1208</v>
      </c>
      <c r="D247" t="s">
        <v>1209</v>
      </c>
    </row>
    <row r="248" spans="1:4">
      <c r="A248" t="s">
        <v>1210</v>
      </c>
      <c r="B248" t="s">
        <v>1211</v>
      </c>
      <c r="C248" t="s">
        <v>1212</v>
      </c>
      <c r="D248" t="s">
        <v>1213</v>
      </c>
    </row>
    <row r="250" spans="1:4" ht="15">
      <c r="A250" s="11" t="s">
        <v>956</v>
      </c>
    </row>
    <row r="251" spans="1:4">
      <c r="A251" t="s">
        <v>1043</v>
      </c>
      <c r="B251" t="s">
        <v>1214</v>
      </c>
    </row>
    <row r="252" spans="1:4">
      <c r="A252" t="s">
        <v>1215</v>
      </c>
      <c r="B252" t="s">
        <v>1216</v>
      </c>
    </row>
    <row r="253" spans="1:4">
      <c r="A253" t="s">
        <v>1217</v>
      </c>
      <c r="B253" t="s">
        <v>1218</v>
      </c>
    </row>
    <row r="254" spans="1:4">
      <c r="A254" t="s">
        <v>1219</v>
      </c>
      <c r="B254" t="s">
        <v>1220</v>
      </c>
    </row>
    <row r="255" spans="1:4">
      <c r="A255" t="s">
        <v>1051</v>
      </c>
      <c r="B255" t="s">
        <v>1221</v>
      </c>
    </row>
    <row r="257" spans="1:4" ht="15">
      <c r="A257" s="11" t="s">
        <v>1222</v>
      </c>
    </row>
    <row r="258" spans="1:4">
      <c r="A258" t="s">
        <v>1223</v>
      </c>
      <c r="B258" t="s">
        <v>1224</v>
      </c>
    </row>
    <row r="259" spans="1:4">
      <c r="A259" t="s">
        <v>1225</v>
      </c>
      <c r="B259" t="s">
        <v>1226</v>
      </c>
    </row>
    <row r="260" spans="1:4">
      <c r="A260" t="s">
        <v>1227</v>
      </c>
      <c r="B260" t="s">
        <v>1228</v>
      </c>
    </row>
    <row r="262" spans="1:4" ht="15">
      <c r="A262" s="11" t="s">
        <v>1229</v>
      </c>
    </row>
    <row r="263" spans="1:4">
      <c r="A263" t="s">
        <v>1230</v>
      </c>
    </row>
    <row r="265" spans="1:4" ht="16.5">
      <c r="A265" s="208" t="s">
        <v>1353</v>
      </c>
      <c r="B265" s="208"/>
      <c r="C265" s="208"/>
      <c r="D265" s="208"/>
    </row>
    <row r="266" spans="1:4">
      <c r="A266" s="209" t="s">
        <v>1354</v>
      </c>
    </row>
    <row r="267" spans="1:4">
      <c r="A267" s="209" t="s">
        <v>1355</v>
      </c>
    </row>
    <row r="269" spans="1:4" ht="15">
      <c r="A269" s="11" t="s">
        <v>1356</v>
      </c>
    </row>
    <row r="270" spans="1:4">
      <c r="A270" t="s">
        <v>1357</v>
      </c>
    </row>
    <row r="271" spans="1:4">
      <c r="A271" t="s">
        <v>1358</v>
      </c>
    </row>
    <row r="273" spans="1:3" ht="15">
      <c r="A273" s="163" t="s">
        <v>1359</v>
      </c>
      <c r="B273" s="163" t="s">
        <v>819</v>
      </c>
      <c r="C273" s="163" t="s">
        <v>1360</v>
      </c>
    </row>
    <row r="274" spans="1:3">
      <c r="A274" t="s">
        <v>1380</v>
      </c>
      <c r="B274" s="149">
        <v>0.19</v>
      </c>
      <c r="C274" t="s">
        <v>849</v>
      </c>
    </row>
    <row r="275" spans="1:3">
      <c r="A275" t="s">
        <v>1381</v>
      </c>
      <c r="B275" s="149">
        <v>0.4</v>
      </c>
      <c r="C275" t="s">
        <v>1361</v>
      </c>
    </row>
    <row r="276" spans="1:3">
      <c r="A276" s="10" t="s">
        <v>1382</v>
      </c>
      <c r="B276" t="s">
        <v>1362</v>
      </c>
      <c r="C276" t="s">
        <v>1363</v>
      </c>
    </row>
    <row r="277" spans="1:3">
      <c r="A277" t="s">
        <v>1383</v>
      </c>
      <c r="B277" t="s">
        <v>1364</v>
      </c>
      <c r="C277" t="s">
        <v>1365</v>
      </c>
    </row>
    <row r="279" spans="1:3" ht="15">
      <c r="A279" s="11" t="s">
        <v>1366</v>
      </c>
    </row>
    <row r="280" spans="1:3">
      <c r="A280" s="101" t="s">
        <v>1367</v>
      </c>
    </row>
    <row r="281" spans="1:3">
      <c r="A281" t="s">
        <v>1368</v>
      </c>
    </row>
    <row r="282" spans="1:3">
      <c r="A282" t="s">
        <v>1369</v>
      </c>
    </row>
    <row r="283" spans="1:3">
      <c r="A283" t="s">
        <v>1370</v>
      </c>
    </row>
    <row r="284" spans="1:3">
      <c r="A284" t="s">
        <v>1371</v>
      </c>
    </row>
    <row r="285" spans="1:3">
      <c r="A285" t="s">
        <v>1372</v>
      </c>
    </row>
    <row r="287" spans="1:3" ht="15">
      <c r="A287" s="11" t="s">
        <v>1373</v>
      </c>
    </row>
    <row r="288" spans="1:3">
      <c r="A288" t="s">
        <v>1374</v>
      </c>
    </row>
    <row r="289" spans="1:3">
      <c r="A289" t="s">
        <v>1375</v>
      </c>
    </row>
    <row r="290" spans="1:3">
      <c r="A290" t="s">
        <v>1376</v>
      </c>
    </row>
    <row r="291" spans="1:3">
      <c r="A291" t="s">
        <v>1377</v>
      </c>
    </row>
    <row r="292" spans="1:3">
      <c r="A292" t="s">
        <v>1378</v>
      </c>
    </row>
    <row r="294" spans="1:3" ht="16.5">
      <c r="A294" s="208" t="s">
        <v>1388</v>
      </c>
    </row>
    <row r="295" spans="1:3">
      <c r="A295" s="241" t="s">
        <v>1389</v>
      </c>
    </row>
    <row r="297" spans="1:3" ht="15">
      <c r="A297" s="242" t="s">
        <v>1390</v>
      </c>
      <c r="B297" s="160"/>
      <c r="C297" s="160"/>
    </row>
    <row r="298" spans="1:3">
      <c r="A298" s="243" t="s">
        <v>1391</v>
      </c>
      <c r="B298" s="243" t="s">
        <v>896</v>
      </c>
      <c r="C298" s="243" t="s">
        <v>1392</v>
      </c>
    </row>
    <row r="299" spans="1:3">
      <c r="A299" s="245" t="s">
        <v>1393</v>
      </c>
      <c r="B299" s="244" t="s">
        <v>1394</v>
      </c>
      <c r="C299" s="244" t="s">
        <v>1395</v>
      </c>
    </row>
    <row r="300" spans="1:3">
      <c r="A300" s="245" t="s">
        <v>1396</v>
      </c>
      <c r="B300" s="244" t="s">
        <v>1397</v>
      </c>
      <c r="C300" s="244" t="s">
        <v>1395</v>
      </c>
    </row>
    <row r="301" spans="1:3">
      <c r="A301" s="245" t="s">
        <v>1398</v>
      </c>
      <c r="B301" s="244" t="s">
        <v>1399</v>
      </c>
      <c r="C301" s="244" t="s">
        <v>1400</v>
      </c>
    </row>
    <row r="302" spans="1:3">
      <c r="A302" s="245" t="s">
        <v>1401</v>
      </c>
      <c r="B302" s="244" t="s">
        <v>1402</v>
      </c>
      <c r="C302" s="244" t="s">
        <v>1403</v>
      </c>
    </row>
    <row r="303" spans="1:3">
      <c r="A303" s="245" t="s">
        <v>1404</v>
      </c>
      <c r="B303" s="244" t="s">
        <v>1405</v>
      </c>
      <c r="C303" s="244" t="s">
        <v>1406</v>
      </c>
    </row>
    <row r="304" spans="1:3">
      <c r="A304" s="244"/>
      <c r="B304" s="244"/>
      <c r="C304" s="244"/>
    </row>
    <row r="305" spans="1:4" ht="15">
      <c r="A305" s="242" t="s">
        <v>1407</v>
      </c>
      <c r="B305" s="160"/>
      <c r="C305" s="160"/>
    </row>
    <row r="306" spans="1:4">
      <c r="A306" s="243" t="s">
        <v>1408</v>
      </c>
      <c r="B306" s="243" t="s">
        <v>1409</v>
      </c>
      <c r="C306" s="243" t="s">
        <v>1410</v>
      </c>
      <c r="D306" s="243" t="s">
        <v>1108</v>
      </c>
    </row>
    <row r="307" spans="1:4">
      <c r="A307" s="246" t="s">
        <v>1411</v>
      </c>
      <c r="B307" s="154"/>
      <c r="C307" s="154"/>
      <c r="D307" s="154"/>
    </row>
    <row r="308" spans="1:4">
      <c r="A308" s="244" t="s">
        <v>1412</v>
      </c>
      <c r="B308" s="244" t="s">
        <v>1413</v>
      </c>
      <c r="C308" s="244" t="s">
        <v>1414</v>
      </c>
      <c r="D308" s="244" t="s">
        <v>1415</v>
      </c>
    </row>
    <row r="309" spans="1:4">
      <c r="A309" s="209" t="s">
        <v>1416</v>
      </c>
      <c r="B309" s="244"/>
      <c r="C309" s="244"/>
      <c r="D309" s="244"/>
    </row>
    <row r="310" spans="1:4">
      <c r="A310" s="244"/>
      <c r="B310" s="244"/>
      <c r="C310" s="244"/>
      <c r="D310" s="244"/>
    </row>
    <row r="311" spans="1:4">
      <c r="A311" s="246" t="s">
        <v>1417</v>
      </c>
      <c r="B311" s="154"/>
      <c r="C311" s="154"/>
      <c r="D311" s="154"/>
    </row>
    <row r="312" spans="1:4">
      <c r="A312" s="244" t="s">
        <v>1418</v>
      </c>
      <c r="B312" s="244" t="s">
        <v>1419</v>
      </c>
      <c r="C312" s="244" t="s">
        <v>1420</v>
      </c>
      <c r="D312" s="244" t="s">
        <v>1421</v>
      </c>
    </row>
    <row r="313" spans="1:4">
      <c r="A313" s="244" t="s">
        <v>1422</v>
      </c>
      <c r="B313" s="247">
        <v>0</v>
      </c>
      <c r="C313" s="244" t="s">
        <v>1423</v>
      </c>
      <c r="D313" s="244" t="s">
        <v>1424</v>
      </c>
    </row>
    <row r="314" spans="1:4">
      <c r="A314" s="244" t="s">
        <v>1425</v>
      </c>
      <c r="B314" s="247">
        <v>0</v>
      </c>
      <c r="C314" s="244" t="s">
        <v>1426</v>
      </c>
      <c r="D314" s="244" t="s">
        <v>1427</v>
      </c>
    </row>
    <row r="315" spans="1:4">
      <c r="A315" s="209" t="s">
        <v>1416</v>
      </c>
      <c r="B315" s="244"/>
      <c r="C315" s="244"/>
      <c r="D315" s="244"/>
    </row>
    <row r="316" spans="1:4">
      <c r="A316" s="244"/>
      <c r="B316" s="244"/>
      <c r="C316" s="244"/>
      <c r="D316" s="244"/>
    </row>
    <row r="317" spans="1:4">
      <c r="A317" s="246" t="s">
        <v>1428</v>
      </c>
      <c r="B317" s="154"/>
      <c r="C317" s="154"/>
      <c r="D317" s="154"/>
    </row>
    <row r="318" spans="1:4">
      <c r="A318" s="244" t="s">
        <v>1429</v>
      </c>
      <c r="B318" s="244" t="s">
        <v>1430</v>
      </c>
      <c r="C318" s="244" t="s">
        <v>1431</v>
      </c>
      <c r="D318" s="244" t="s">
        <v>1432</v>
      </c>
    </row>
    <row r="319" spans="1:4">
      <c r="A319" s="209" t="s">
        <v>1433</v>
      </c>
      <c r="B319" s="244"/>
      <c r="C319" s="244"/>
      <c r="D319" s="244"/>
    </row>
    <row r="320" spans="1:4">
      <c r="A320" s="244"/>
      <c r="B320" s="244"/>
      <c r="C320" s="244"/>
      <c r="D320" s="244"/>
    </row>
    <row r="321" spans="1:4">
      <c r="A321" s="246" t="s">
        <v>1434</v>
      </c>
      <c r="B321" s="154"/>
      <c r="C321" s="154"/>
      <c r="D321" s="154"/>
    </row>
    <row r="322" spans="1:4">
      <c r="A322" s="244" t="s">
        <v>1435</v>
      </c>
      <c r="B322" s="244" t="s">
        <v>1436</v>
      </c>
      <c r="C322" s="244" t="s">
        <v>1437</v>
      </c>
      <c r="D322" s="244" t="s">
        <v>1438</v>
      </c>
    </row>
    <row r="323" spans="1:4">
      <c r="A323" s="209" t="s">
        <v>1416</v>
      </c>
      <c r="B323" s="244"/>
      <c r="C323" s="244"/>
      <c r="D323" s="244"/>
    </row>
    <row r="324" spans="1:4">
      <c r="A324" s="244"/>
      <c r="B324" s="244"/>
      <c r="C324" s="244"/>
      <c r="D324" s="244"/>
    </row>
    <row r="325" spans="1:4">
      <c r="A325" s="246" t="s">
        <v>1439</v>
      </c>
      <c r="B325" s="154"/>
      <c r="C325" s="154"/>
      <c r="D325" s="154"/>
    </row>
    <row r="326" spans="1:4">
      <c r="A326" s="244" t="s">
        <v>1440</v>
      </c>
      <c r="B326" s="244" t="s">
        <v>1441</v>
      </c>
      <c r="C326" s="244" t="s">
        <v>1442</v>
      </c>
      <c r="D326" s="244" t="s">
        <v>1443</v>
      </c>
    </row>
    <row r="327" spans="1:4">
      <c r="A327" s="244" t="s">
        <v>1444</v>
      </c>
      <c r="B327" s="244" t="s">
        <v>1445</v>
      </c>
      <c r="C327" s="244" t="s">
        <v>1446</v>
      </c>
      <c r="D327" s="244" t="s">
        <v>1447</v>
      </c>
    </row>
    <row r="328" spans="1:4">
      <c r="A328" s="244" t="s">
        <v>1448</v>
      </c>
      <c r="B328" s="244" t="s">
        <v>1449</v>
      </c>
      <c r="C328" s="244" t="s">
        <v>1450</v>
      </c>
      <c r="D328" s="244" t="s">
        <v>1451</v>
      </c>
    </row>
    <row r="329" spans="1:4">
      <c r="A329" s="244" t="s">
        <v>1452</v>
      </c>
      <c r="B329" s="244" t="s">
        <v>1453</v>
      </c>
      <c r="C329" s="244" t="s">
        <v>1454</v>
      </c>
      <c r="D329" s="244" t="s">
        <v>1455</v>
      </c>
    </row>
    <row r="330" spans="1:4">
      <c r="A330" s="244" t="s">
        <v>1456</v>
      </c>
      <c r="B330" s="244" t="s">
        <v>1457</v>
      </c>
      <c r="C330" s="244" t="s">
        <v>1458</v>
      </c>
      <c r="D330" s="244" t="s">
        <v>1459</v>
      </c>
    </row>
    <row r="331" spans="1:4">
      <c r="A331" s="209" t="s">
        <v>1460</v>
      </c>
      <c r="B331" s="244"/>
      <c r="C331" s="244"/>
      <c r="D331" s="244"/>
    </row>
    <row r="332" spans="1:4">
      <c r="A332" s="244"/>
      <c r="B332" s="244"/>
      <c r="C332" s="244"/>
      <c r="D332" s="244"/>
    </row>
    <row r="333" spans="1:4" ht="15">
      <c r="A333" s="242" t="s">
        <v>1461</v>
      </c>
      <c r="B333" s="160"/>
      <c r="C333" s="160"/>
      <c r="D333" s="160"/>
    </row>
    <row r="334" spans="1:4">
      <c r="A334" s="243" t="s">
        <v>856</v>
      </c>
      <c r="B334" s="243" t="s">
        <v>1409</v>
      </c>
      <c r="C334" s="243" t="s">
        <v>1462</v>
      </c>
      <c r="D334" s="243" t="s">
        <v>820</v>
      </c>
    </row>
    <row r="335" spans="1:4">
      <c r="A335" s="245" t="s">
        <v>674</v>
      </c>
      <c r="B335" s="244" t="s">
        <v>1463</v>
      </c>
      <c r="C335" s="248">
        <v>0.17799999999999999</v>
      </c>
      <c r="D335" s="244" t="s">
        <v>1464</v>
      </c>
    </row>
    <row r="336" spans="1:4">
      <c r="A336" s="245" t="s">
        <v>688</v>
      </c>
      <c r="B336" s="244" t="s">
        <v>1465</v>
      </c>
      <c r="C336" s="248">
        <v>0.32400000000000001</v>
      </c>
      <c r="D336" s="244" t="s">
        <v>1466</v>
      </c>
    </row>
    <row r="337" spans="1:4">
      <c r="A337" s="245" t="s">
        <v>1467</v>
      </c>
      <c r="B337" s="244" t="s">
        <v>1468</v>
      </c>
      <c r="C337" s="245" t="s">
        <v>1469</v>
      </c>
      <c r="D337" s="244" t="s">
        <v>1470</v>
      </c>
    </row>
    <row r="338" spans="1:4">
      <c r="A338" s="245" t="s">
        <v>662</v>
      </c>
      <c r="B338" s="244" t="s">
        <v>1471</v>
      </c>
      <c r="C338" s="245" t="s">
        <v>1472</v>
      </c>
      <c r="D338" s="244" t="s">
        <v>1473</v>
      </c>
    </row>
    <row r="339" spans="1:4">
      <c r="A339" s="245" t="s">
        <v>664</v>
      </c>
      <c r="B339" s="244" t="s">
        <v>1474</v>
      </c>
      <c r="C339" s="249" t="s">
        <v>1475</v>
      </c>
      <c r="D339" s="244" t="s">
        <v>1476</v>
      </c>
    </row>
    <row r="340" spans="1:4">
      <c r="A340" s="245" t="s">
        <v>1477</v>
      </c>
      <c r="B340" s="244" t="s">
        <v>1478</v>
      </c>
      <c r="C340" s="245" t="s">
        <v>1479</v>
      </c>
      <c r="D340" s="244" t="s">
        <v>1480</v>
      </c>
    </row>
    <row r="341" spans="1:4">
      <c r="A341" s="245" t="s">
        <v>661</v>
      </c>
      <c r="B341" s="244" t="s">
        <v>1481</v>
      </c>
      <c r="C341" s="245" t="s">
        <v>1482</v>
      </c>
      <c r="D341" s="244" t="s">
        <v>1483</v>
      </c>
    </row>
    <row r="342" spans="1:4">
      <c r="A342" s="245" t="s">
        <v>1484</v>
      </c>
      <c r="B342" s="244" t="s">
        <v>1485</v>
      </c>
      <c r="C342" s="250">
        <v>2.42</v>
      </c>
      <c r="D342" s="244" t="s">
        <v>1486</v>
      </c>
    </row>
    <row r="343" spans="1:4">
      <c r="A343" s="244"/>
      <c r="B343" s="244"/>
      <c r="C343" s="244"/>
      <c r="D343" s="244"/>
    </row>
    <row r="344" spans="1:4">
      <c r="A344" s="245" t="s">
        <v>1487</v>
      </c>
      <c r="B344" s="244" t="s">
        <v>1488</v>
      </c>
      <c r="C344" s="245" t="s">
        <v>1489</v>
      </c>
      <c r="D344" s="244" t="s">
        <v>1490</v>
      </c>
    </row>
    <row r="345" spans="1:4">
      <c r="A345" s="245" t="s">
        <v>1491</v>
      </c>
      <c r="B345" s="244" t="s">
        <v>1488</v>
      </c>
      <c r="C345" s="245" t="s">
        <v>1492</v>
      </c>
      <c r="D345" s="244" t="s">
        <v>1493</v>
      </c>
    </row>
    <row r="346" spans="1:4">
      <c r="A346" s="245" t="s">
        <v>1494</v>
      </c>
      <c r="B346" s="244" t="s">
        <v>1495</v>
      </c>
      <c r="C346" s="245" t="s">
        <v>1496</v>
      </c>
      <c r="D346" s="244" t="s">
        <v>1497</v>
      </c>
    </row>
    <row r="347" spans="1:4">
      <c r="A347" s="245" t="s">
        <v>1498</v>
      </c>
      <c r="B347" s="244" t="s">
        <v>1499</v>
      </c>
      <c r="C347" s="245" t="s">
        <v>1500</v>
      </c>
      <c r="D347" s="244" t="s">
        <v>1501</v>
      </c>
    </row>
    <row r="349" spans="1:4" ht="15">
      <c r="A349" s="242" t="s">
        <v>1502</v>
      </c>
      <c r="B349" s="160"/>
      <c r="C349" s="160"/>
      <c r="D349" s="160"/>
    </row>
    <row r="350" spans="1:4">
      <c r="A350" s="243" t="s">
        <v>1107</v>
      </c>
      <c r="B350" s="243" t="s">
        <v>874</v>
      </c>
      <c r="C350" s="243" t="s">
        <v>1503</v>
      </c>
    </row>
    <row r="351" spans="1:4">
      <c r="A351" s="245" t="s">
        <v>1109</v>
      </c>
      <c r="B351" s="244" t="s">
        <v>1504</v>
      </c>
      <c r="C351" s="244" t="s">
        <v>1505</v>
      </c>
    </row>
    <row r="352" spans="1:4">
      <c r="A352" s="245" t="s">
        <v>1118</v>
      </c>
      <c r="B352" s="244" t="s">
        <v>1506</v>
      </c>
      <c r="C352" s="244" t="s">
        <v>1507</v>
      </c>
    </row>
    <row r="353" spans="1:3">
      <c r="A353" s="245" t="s">
        <v>1118</v>
      </c>
      <c r="B353" s="244" t="s">
        <v>1508</v>
      </c>
      <c r="C353" s="244" t="s">
        <v>1509</v>
      </c>
    </row>
    <row r="354" spans="1:3">
      <c r="A354" s="245" t="s">
        <v>1118</v>
      </c>
      <c r="B354" s="244" t="s">
        <v>1510</v>
      </c>
      <c r="C354" s="244" t="s">
        <v>1511</v>
      </c>
    </row>
    <row r="355" spans="1:3">
      <c r="A355" s="245" t="s">
        <v>1127</v>
      </c>
      <c r="B355" s="244" t="s">
        <v>1512</v>
      </c>
      <c r="C355" s="244" t="s">
        <v>1513</v>
      </c>
    </row>
    <row r="356" spans="1:3">
      <c r="A356" s="245" t="s">
        <v>1127</v>
      </c>
      <c r="B356" s="244" t="s">
        <v>1514</v>
      </c>
      <c r="C356" s="244" t="s">
        <v>1515</v>
      </c>
    </row>
    <row r="357" spans="1:3">
      <c r="A357" s="245" t="s">
        <v>1127</v>
      </c>
      <c r="B357" s="244" t="s">
        <v>1516</v>
      </c>
      <c r="C357" s="244" t="s">
        <v>1517</v>
      </c>
    </row>
    <row r="358" spans="1:3">
      <c r="A358" s="245" t="s">
        <v>1127</v>
      </c>
      <c r="B358" s="244" t="s">
        <v>1518</v>
      </c>
      <c r="C358" s="244" t="s">
        <v>1519</v>
      </c>
    </row>
    <row r="361" spans="1:3" ht="16.5">
      <c r="A361" s="208" t="s">
        <v>1553</v>
      </c>
      <c r="B361" s="208"/>
    </row>
    <row r="363" spans="1:3">
      <c r="A363" s="597" t="s">
        <v>1540</v>
      </c>
    </row>
    <row r="364" spans="1:3">
      <c r="A364" s="597" t="s">
        <v>1541</v>
      </c>
    </row>
    <row r="365" spans="1:3">
      <c r="A365" s="597" t="s">
        <v>1542</v>
      </c>
    </row>
    <row r="366" spans="1:3">
      <c r="A366" s="597" t="s">
        <v>1552</v>
      </c>
    </row>
    <row r="367" spans="1:3">
      <c r="A367" s="597" t="s">
        <v>1562</v>
      </c>
    </row>
    <row r="368" spans="1:3">
      <c r="A368" s="597" t="s">
        <v>1597</v>
      </c>
    </row>
    <row r="369" spans="1:1">
      <c r="A369" s="597" t="s">
        <v>1629</v>
      </c>
    </row>
    <row r="370" spans="1:1">
      <c r="A370" s="597"/>
    </row>
    <row r="371" spans="1:1" ht="16.5">
      <c r="A371" s="208" t="s">
        <v>1564</v>
      </c>
    </row>
    <row r="373" spans="1:1">
      <c r="A373" t="s">
        <v>1565</v>
      </c>
    </row>
    <row r="374" spans="1:1">
      <c r="A374" t="s">
        <v>1566</v>
      </c>
    </row>
    <row r="376" spans="1:1" ht="15">
      <c r="A376" s="242" t="s">
        <v>1567</v>
      </c>
    </row>
    <row r="377" spans="1:1">
      <c r="A377" t="s">
        <v>1568</v>
      </c>
    </row>
    <row r="378" spans="1:1">
      <c r="A378" t="s">
        <v>1569</v>
      </c>
    </row>
    <row r="379" spans="1:1">
      <c r="A379" t="s">
        <v>1570</v>
      </c>
    </row>
    <row r="380" spans="1:1">
      <c r="A380" t="s">
        <v>1571</v>
      </c>
    </row>
    <row r="381" spans="1:1">
      <c r="A381" s="209" t="s">
        <v>1572</v>
      </c>
    </row>
    <row r="383" spans="1:1" ht="15">
      <c r="A383" s="242" t="s">
        <v>1573</v>
      </c>
    </row>
    <row r="384" spans="1:1">
      <c r="A384" t="s">
        <v>1574</v>
      </c>
    </row>
    <row r="385" spans="1:1">
      <c r="A385" t="s">
        <v>1575</v>
      </c>
    </row>
    <row r="386" spans="1:1">
      <c r="A386" t="s">
        <v>1576</v>
      </c>
    </row>
    <row r="387" spans="1:1">
      <c r="A387" t="s">
        <v>1577</v>
      </c>
    </row>
    <row r="388" spans="1:1">
      <c r="A388" t="s">
        <v>1578</v>
      </c>
    </row>
    <row r="389" spans="1:1">
      <c r="A389" s="209" t="s">
        <v>1579</v>
      </c>
    </row>
    <row r="391" spans="1:1" ht="15">
      <c r="A391" s="242" t="s">
        <v>1580</v>
      </c>
    </row>
    <row r="392" spans="1:1">
      <c r="A392" t="s">
        <v>1581</v>
      </c>
    </row>
    <row r="393" spans="1:1">
      <c r="A393" t="s">
        <v>1582</v>
      </c>
    </row>
    <row r="394" spans="1:1">
      <c r="A394" t="s">
        <v>1583</v>
      </c>
    </row>
    <row r="395" spans="1:1">
      <c r="A395" t="s">
        <v>1584</v>
      </c>
    </row>
    <row r="397" spans="1:1" ht="15">
      <c r="A397" s="242" t="s">
        <v>1585</v>
      </c>
    </row>
    <row r="398" spans="1:1">
      <c r="A398" t="s">
        <v>1586</v>
      </c>
    </row>
    <row r="399" spans="1:1">
      <c r="A399" t="s">
        <v>1587</v>
      </c>
    </row>
    <row r="400" spans="1:1">
      <c r="A400" t="s">
        <v>1588</v>
      </c>
    </row>
    <row r="402" spans="1:1" ht="15">
      <c r="A402" s="242" t="s">
        <v>1589</v>
      </c>
    </row>
    <row r="403" spans="1:1">
      <c r="A403" t="s">
        <v>1590</v>
      </c>
    </row>
    <row r="404" spans="1:1">
      <c r="A404" t="s">
        <v>1591</v>
      </c>
    </row>
    <row r="405" spans="1:1">
      <c r="A405" t="s">
        <v>1592</v>
      </c>
    </row>
    <row r="407" spans="1:1" ht="15">
      <c r="A407" s="242" t="s">
        <v>1593</v>
      </c>
    </row>
    <row r="408" spans="1:1">
      <c r="A408" t="s">
        <v>1594</v>
      </c>
    </row>
    <row r="409" spans="1:1">
      <c r="A409" t="s">
        <v>1595</v>
      </c>
    </row>
    <row r="411" spans="1:1">
      <c r="A411" s="209" t="s">
        <v>1596</v>
      </c>
    </row>
    <row r="414" spans="1:1" ht="16.5">
      <c r="A414" s="208" t="s">
        <v>1598</v>
      </c>
    </row>
    <row r="416" spans="1:1">
      <c r="A416" t="s">
        <v>1599</v>
      </c>
    </row>
    <row r="417" spans="1:1">
      <c r="A417" t="s">
        <v>1600</v>
      </c>
    </row>
    <row r="419" spans="1:1" ht="15">
      <c r="A419" s="242" t="s">
        <v>1601</v>
      </c>
    </row>
    <row r="420" spans="1:1">
      <c r="A420" t="s">
        <v>1602</v>
      </c>
    </row>
    <row r="421" spans="1:1">
      <c r="A421" t="s">
        <v>1603</v>
      </c>
    </row>
    <row r="422" spans="1:1">
      <c r="A422" t="s">
        <v>1604</v>
      </c>
    </row>
    <row r="423" spans="1:1">
      <c r="A423" t="s">
        <v>1605</v>
      </c>
    </row>
    <row r="425" spans="1:1" ht="15">
      <c r="A425" s="419" t="s">
        <v>1606</v>
      </c>
    </row>
    <row r="426" spans="1:1">
      <c r="A426" t="s">
        <v>1607</v>
      </c>
    </row>
    <row r="427" spans="1:1">
      <c r="A427" t="s">
        <v>1608</v>
      </c>
    </row>
    <row r="428" spans="1:1">
      <c r="A428" t="s">
        <v>1609</v>
      </c>
    </row>
    <row r="429" spans="1:1">
      <c r="A429" t="s">
        <v>1610</v>
      </c>
    </row>
    <row r="430" spans="1:1">
      <c r="A430" t="s">
        <v>1611</v>
      </c>
    </row>
    <row r="432" spans="1:1" ht="15">
      <c r="A432" s="242" t="s">
        <v>1612</v>
      </c>
    </row>
    <row r="433" spans="1:1">
      <c r="A433" t="s">
        <v>1613</v>
      </c>
    </row>
    <row r="434" spans="1:1">
      <c r="A434" t="s">
        <v>1614</v>
      </c>
    </row>
    <row r="435" spans="1:1">
      <c r="A435" t="s">
        <v>1615</v>
      </c>
    </row>
    <row r="436" spans="1:1">
      <c r="A436" t="s">
        <v>1616</v>
      </c>
    </row>
    <row r="437" spans="1:1">
      <c r="A437" t="s">
        <v>1617</v>
      </c>
    </row>
    <row r="439" spans="1:1" ht="15">
      <c r="A439" s="242" t="s">
        <v>1618</v>
      </c>
    </row>
    <row r="440" spans="1:1">
      <c r="A440" t="s">
        <v>1619</v>
      </c>
    </row>
    <row r="441" spans="1:1">
      <c r="A441" t="s">
        <v>1620</v>
      </c>
    </row>
    <row r="442" spans="1:1">
      <c r="A442" t="s">
        <v>1621</v>
      </c>
    </row>
    <row r="443" spans="1:1">
      <c r="A443" t="s">
        <v>1622</v>
      </c>
    </row>
    <row r="445" spans="1:1" ht="15">
      <c r="A445" s="242" t="s">
        <v>1593</v>
      </c>
    </row>
    <row r="446" spans="1:1">
      <c r="A446" t="s">
        <v>1623</v>
      </c>
    </row>
    <row r="447" spans="1:1">
      <c r="A447" t="s">
        <v>1624</v>
      </c>
    </row>
    <row r="449" spans="1:4">
      <c r="A449" s="209" t="s">
        <v>1625</v>
      </c>
    </row>
    <row r="451" spans="1:4" ht="16.5">
      <c r="A451" s="208" t="s">
        <v>1640</v>
      </c>
    </row>
    <row r="452" spans="1:4">
      <c r="A452" s="462" t="s">
        <v>1641</v>
      </c>
    </row>
    <row r="454" spans="1:4" ht="15">
      <c r="A454" s="242" t="s">
        <v>1642</v>
      </c>
    </row>
    <row r="455" spans="1:4">
      <c r="A455" t="s">
        <v>1643</v>
      </c>
    </row>
    <row r="457" spans="1:4" ht="15">
      <c r="A457" s="419" t="s">
        <v>1644</v>
      </c>
      <c r="B457" s="419" t="s">
        <v>1645</v>
      </c>
      <c r="C457" s="419" t="s">
        <v>1646</v>
      </c>
      <c r="D457" s="419" t="s">
        <v>1647</v>
      </c>
    </row>
    <row r="458" spans="1:4">
      <c r="A458" t="s">
        <v>1648</v>
      </c>
      <c r="B458" s="149">
        <v>0.1</v>
      </c>
      <c r="C458" s="149">
        <v>0.59</v>
      </c>
      <c r="D458" s="149">
        <v>0.35</v>
      </c>
    </row>
    <row r="459" spans="1:4">
      <c r="A459" t="s">
        <v>1649</v>
      </c>
      <c r="B459" s="149">
        <v>0.3</v>
      </c>
      <c r="C459" s="149">
        <v>0.17</v>
      </c>
      <c r="D459" s="149">
        <v>0.03</v>
      </c>
    </row>
    <row r="460" spans="1:4">
      <c r="A460" t="s">
        <v>1650</v>
      </c>
      <c r="B460" s="149">
        <v>0</v>
      </c>
      <c r="C460" s="149">
        <v>1</v>
      </c>
      <c r="D460" s="149">
        <v>1</v>
      </c>
    </row>
    <row r="461" spans="1:4">
      <c r="A461" t="s">
        <v>1651</v>
      </c>
      <c r="B461" s="149">
        <v>0.05</v>
      </c>
      <c r="C461" s="149">
        <v>0.77</v>
      </c>
      <c r="D461" s="149">
        <v>0.6</v>
      </c>
    </row>
    <row r="462" spans="1:4" ht="15">
      <c r="A462" t="s">
        <v>1652</v>
      </c>
      <c r="B462" s="81">
        <v>0.2</v>
      </c>
      <c r="C462" s="81">
        <v>0.33</v>
      </c>
      <c r="D462" s="81">
        <v>0.11</v>
      </c>
    </row>
    <row r="463" spans="1:4">
      <c r="A463" t="s">
        <v>1653</v>
      </c>
      <c r="B463" s="149">
        <v>0.3</v>
      </c>
      <c r="C463" s="149">
        <v>0.17</v>
      </c>
      <c r="D463" s="149">
        <v>0.03</v>
      </c>
    </row>
    <row r="465" spans="1:4" ht="15">
      <c r="A465" s="242" t="s">
        <v>1654</v>
      </c>
    </row>
    <row r="466" spans="1:4">
      <c r="A466" t="s">
        <v>1655</v>
      </c>
    </row>
    <row r="468" spans="1:4" ht="15">
      <c r="A468" s="242" t="s">
        <v>1656</v>
      </c>
    </row>
    <row r="469" spans="1:4">
      <c r="A469" t="s">
        <v>1657</v>
      </c>
    </row>
    <row r="470" spans="1:4" ht="15">
      <c r="A470" s="419" t="s">
        <v>1658</v>
      </c>
      <c r="B470" s="419" t="s">
        <v>1659</v>
      </c>
      <c r="C470" s="419" t="s">
        <v>1660</v>
      </c>
      <c r="D470" s="419" t="s">
        <v>908</v>
      </c>
    </row>
    <row r="471" spans="1:4">
      <c r="A471" t="s">
        <v>1661</v>
      </c>
      <c r="B471" t="s">
        <v>1662</v>
      </c>
      <c r="C471" t="s">
        <v>1663</v>
      </c>
      <c r="D471" t="s">
        <v>1664</v>
      </c>
    </row>
    <row r="472" spans="1:4">
      <c r="A472" t="s">
        <v>1665</v>
      </c>
      <c r="B472" t="s">
        <v>1662</v>
      </c>
      <c r="C472" t="s">
        <v>1666</v>
      </c>
      <c r="D472" t="s">
        <v>1667</v>
      </c>
    </row>
    <row r="473" spans="1:4">
      <c r="A473" t="s">
        <v>1668</v>
      </c>
      <c r="B473" t="s">
        <v>1662</v>
      </c>
      <c r="C473" t="s">
        <v>1669</v>
      </c>
      <c r="D473" t="s">
        <v>1670</v>
      </c>
    </row>
    <row r="474" spans="1:4">
      <c r="A474" t="s">
        <v>1671</v>
      </c>
      <c r="B474" t="s">
        <v>1662</v>
      </c>
      <c r="C474" t="s">
        <v>1672</v>
      </c>
      <c r="D474" t="s">
        <v>1673</v>
      </c>
    </row>
    <row r="475" spans="1:4">
      <c r="A475" t="s">
        <v>1674</v>
      </c>
      <c r="B475" t="s">
        <v>1675</v>
      </c>
      <c r="C475" t="s">
        <v>1669</v>
      </c>
      <c r="D475" t="s">
        <v>1676</v>
      </c>
    </row>
    <row r="476" spans="1:4">
      <c r="A476" t="s">
        <v>1677</v>
      </c>
      <c r="B476" t="s">
        <v>1675</v>
      </c>
      <c r="C476" t="s">
        <v>1678</v>
      </c>
      <c r="D476" t="s">
        <v>1679</v>
      </c>
    </row>
    <row r="477" spans="1:4">
      <c r="A477" t="s">
        <v>1680</v>
      </c>
      <c r="B477" t="s">
        <v>1675</v>
      </c>
      <c r="C477" t="s">
        <v>1681</v>
      </c>
      <c r="D477" t="s">
        <v>1679</v>
      </c>
    </row>
    <row r="478" spans="1:4">
      <c r="A478" t="s">
        <v>1682</v>
      </c>
      <c r="B478" t="s">
        <v>1675</v>
      </c>
      <c r="C478" t="s">
        <v>1683</v>
      </c>
      <c r="D478" t="s">
        <v>1684</v>
      </c>
    </row>
    <row r="479" spans="1:4">
      <c r="A479" t="s">
        <v>1685</v>
      </c>
      <c r="B479" t="s">
        <v>1686</v>
      </c>
      <c r="C479" t="s">
        <v>1687</v>
      </c>
      <c r="D479" t="s">
        <v>1688</v>
      </c>
    </row>
    <row r="481" spans="1:4" ht="15">
      <c r="A481" s="242" t="s">
        <v>1689</v>
      </c>
    </row>
    <row r="482" spans="1:4">
      <c r="A482" t="s">
        <v>1690</v>
      </c>
    </row>
    <row r="483" spans="1:4">
      <c r="A483" t="s">
        <v>1691</v>
      </c>
    </row>
    <row r="484" spans="1:4">
      <c r="A484" t="s">
        <v>1692</v>
      </c>
    </row>
    <row r="485" spans="1:4">
      <c r="A485" t="s">
        <v>1693</v>
      </c>
    </row>
    <row r="487" spans="1:4" ht="15">
      <c r="A487" s="242" t="s">
        <v>1694</v>
      </c>
    </row>
    <row r="488" spans="1:4">
      <c r="A488" t="s">
        <v>1695</v>
      </c>
    </row>
    <row r="490" spans="1:4" ht="15">
      <c r="A490" s="419" t="s">
        <v>1644</v>
      </c>
      <c r="B490" s="419" t="s">
        <v>1696</v>
      </c>
      <c r="C490" s="419" t="s">
        <v>1697</v>
      </c>
      <c r="D490" s="419" t="s">
        <v>1698</v>
      </c>
    </row>
    <row r="491" spans="1:4" ht="15">
      <c r="A491" t="s">
        <v>1652</v>
      </c>
      <c r="B491" t="s">
        <v>1699</v>
      </c>
      <c r="C491" s="11" t="s">
        <v>1700</v>
      </c>
      <c r="D491" t="s">
        <v>1701</v>
      </c>
    </row>
    <row r="492" spans="1:4">
      <c r="A492" t="s">
        <v>1651</v>
      </c>
      <c r="B492" t="s">
        <v>1702</v>
      </c>
      <c r="C492" t="s">
        <v>1703</v>
      </c>
      <c r="D492" t="s">
        <v>1704</v>
      </c>
    </row>
    <row r="493" spans="1:4">
      <c r="A493" t="s">
        <v>1648</v>
      </c>
      <c r="B493" t="s">
        <v>1705</v>
      </c>
      <c r="C493" t="s">
        <v>1700</v>
      </c>
      <c r="D493" t="s">
        <v>1706</v>
      </c>
    </row>
    <row r="494" spans="1:4">
      <c r="A494" t="s">
        <v>1650</v>
      </c>
      <c r="B494" s="149">
        <v>0</v>
      </c>
      <c r="C494" t="s">
        <v>1707</v>
      </c>
      <c r="D494" t="s">
        <v>1708</v>
      </c>
    </row>
    <row r="495" spans="1:4">
      <c r="A495" t="s">
        <v>1653</v>
      </c>
      <c r="B495" t="s">
        <v>1709</v>
      </c>
      <c r="C495" t="s">
        <v>1710</v>
      </c>
      <c r="D495" t="s">
        <v>1711</v>
      </c>
    </row>
    <row r="496" spans="1:4">
      <c r="A496" t="s">
        <v>1649</v>
      </c>
      <c r="B496" t="s">
        <v>1709</v>
      </c>
      <c r="C496" t="s">
        <v>1710</v>
      </c>
      <c r="D496" t="s">
        <v>1711</v>
      </c>
    </row>
    <row r="498" spans="1:1" ht="15">
      <c r="A498" s="242" t="s">
        <v>1712</v>
      </c>
    </row>
    <row r="499" spans="1:1">
      <c r="A499" t="s">
        <v>1713</v>
      </c>
    </row>
    <row r="500" spans="1:1">
      <c r="A500" t="s">
        <v>1714</v>
      </c>
    </row>
    <row r="501" spans="1:1">
      <c r="A501" t="s">
        <v>1715</v>
      </c>
    </row>
    <row r="502" spans="1:1">
      <c r="A502" t="s">
        <v>1716</v>
      </c>
    </row>
    <row r="503" spans="1:1">
      <c r="A503" t="s">
        <v>1717</v>
      </c>
    </row>
    <row r="504" spans="1:1">
      <c r="A504" t="s">
        <v>1718</v>
      </c>
    </row>
    <row r="506" spans="1:1" ht="15">
      <c r="A506" s="463" t="s">
        <v>1719</v>
      </c>
    </row>
    <row r="508" spans="1:1">
      <c r="A508" s="209" t="s">
        <v>1720</v>
      </c>
    </row>
    <row r="510" spans="1:1" ht="16.5">
      <c r="A510" s="208" t="s">
        <v>1721</v>
      </c>
    </row>
    <row r="511" spans="1:1">
      <c r="A511" s="462" t="s">
        <v>1722</v>
      </c>
    </row>
    <row r="513" spans="1:4" ht="15">
      <c r="A513" s="242" t="s">
        <v>1723</v>
      </c>
    </row>
    <row r="514" spans="1:4" ht="15">
      <c r="A514" s="419" t="s">
        <v>818</v>
      </c>
      <c r="B514" s="419" t="s">
        <v>819</v>
      </c>
      <c r="C514" s="419" t="s">
        <v>1724</v>
      </c>
      <c r="D514" s="419" t="s">
        <v>1725</v>
      </c>
    </row>
    <row r="515" spans="1:4">
      <c r="A515" t="s">
        <v>1333</v>
      </c>
      <c r="B515" s="149">
        <v>0.08</v>
      </c>
      <c r="C515" t="s">
        <v>1726</v>
      </c>
      <c r="D515" t="s">
        <v>1727</v>
      </c>
    </row>
    <row r="516" spans="1:4">
      <c r="A516" t="s">
        <v>640</v>
      </c>
      <c r="B516" s="149">
        <v>0.02</v>
      </c>
      <c r="C516" t="s">
        <v>1728</v>
      </c>
      <c r="D516" t="s">
        <v>1729</v>
      </c>
    </row>
    <row r="517" spans="1:4">
      <c r="A517" t="s">
        <v>742</v>
      </c>
      <c r="B517" t="s">
        <v>1730</v>
      </c>
      <c r="C517" t="s">
        <v>1731</v>
      </c>
      <c r="D517" t="s">
        <v>1732</v>
      </c>
    </row>
    <row r="518" spans="1:4">
      <c r="A518" t="s">
        <v>1733</v>
      </c>
      <c r="B518" t="s">
        <v>754</v>
      </c>
      <c r="C518" t="s">
        <v>1734</v>
      </c>
      <c r="D518" t="s">
        <v>1735</v>
      </c>
    </row>
    <row r="520" spans="1:4" ht="15">
      <c r="A520" s="242" t="s">
        <v>1736</v>
      </c>
    </row>
    <row r="521" spans="1:4">
      <c r="A521" t="s">
        <v>1737</v>
      </c>
    </row>
    <row r="523" spans="1:4" ht="15">
      <c r="A523" s="11" t="s">
        <v>1738</v>
      </c>
    </row>
    <row r="524" spans="1:4">
      <c r="A524" t="s">
        <v>1739</v>
      </c>
    </row>
    <row r="525" spans="1:4">
      <c r="A525" t="s">
        <v>1740</v>
      </c>
    </row>
    <row r="526" spans="1:4">
      <c r="A526" t="s">
        <v>1741</v>
      </c>
    </row>
    <row r="527" spans="1:4">
      <c r="A527" t="s">
        <v>1742</v>
      </c>
    </row>
    <row r="536" spans="1:1" ht="15">
      <c r="A536" s="242" t="s">
        <v>1743</v>
      </c>
    </row>
    <row r="537" spans="1:1">
      <c r="A537" t="s">
        <v>1744</v>
      </c>
    </row>
    <row r="538" spans="1:1">
      <c r="A538" t="s">
        <v>1745</v>
      </c>
    </row>
    <row r="539" spans="1:1">
      <c r="A539" t="s">
        <v>1746</v>
      </c>
    </row>
    <row r="540" spans="1:1">
      <c r="A540" t="s">
        <v>1747</v>
      </c>
    </row>
    <row r="541" spans="1:1">
      <c r="A541" t="s">
        <v>1748</v>
      </c>
    </row>
    <row r="542" spans="1:1" ht="15">
      <c r="A542" s="11" t="s">
        <v>1749</v>
      </c>
    </row>
    <row r="544" spans="1:1" ht="15">
      <c r="A544" s="242" t="s">
        <v>1750</v>
      </c>
    </row>
    <row r="546" spans="1:4" ht="15">
      <c r="A546" s="11" t="s">
        <v>1751</v>
      </c>
    </row>
    <row r="547" spans="1:4" ht="15">
      <c r="A547" s="419" t="s">
        <v>1658</v>
      </c>
      <c r="B547" s="419" t="s">
        <v>1752</v>
      </c>
      <c r="C547" s="419" t="s">
        <v>1659</v>
      </c>
      <c r="D547" s="419" t="s">
        <v>908</v>
      </c>
    </row>
    <row r="548" spans="1:4">
      <c r="A548" t="s">
        <v>628</v>
      </c>
      <c r="B548" t="s">
        <v>1753</v>
      </c>
      <c r="C548" t="s">
        <v>1754</v>
      </c>
      <c r="D548" t="s">
        <v>1755</v>
      </c>
    </row>
    <row r="549" spans="1:4">
      <c r="A549" t="s">
        <v>627</v>
      </c>
      <c r="B549" t="s">
        <v>1756</v>
      </c>
      <c r="C549" t="s">
        <v>1757</v>
      </c>
      <c r="D549" t="s">
        <v>1758</v>
      </c>
    </row>
    <row r="550" spans="1:4">
      <c r="A550" t="s">
        <v>1759</v>
      </c>
      <c r="B550" t="s">
        <v>1760</v>
      </c>
      <c r="C550" t="s">
        <v>1761</v>
      </c>
      <c r="D550" t="s">
        <v>1762</v>
      </c>
    </row>
    <row r="551" spans="1:4">
      <c r="A551" t="s">
        <v>1763</v>
      </c>
      <c r="B551" t="s">
        <v>1764</v>
      </c>
      <c r="C551" t="s">
        <v>1765</v>
      </c>
      <c r="D551" t="s">
        <v>1766</v>
      </c>
    </row>
    <row r="552" spans="1:4">
      <c r="A552" t="s">
        <v>1767</v>
      </c>
      <c r="B552" t="s">
        <v>1768</v>
      </c>
      <c r="C552" t="s">
        <v>1769</v>
      </c>
      <c r="D552" t="s">
        <v>1770</v>
      </c>
    </row>
    <row r="553" spans="1:4">
      <c r="A553" t="s">
        <v>1771</v>
      </c>
      <c r="B553" t="s">
        <v>1772</v>
      </c>
      <c r="C553" t="s">
        <v>1773</v>
      </c>
      <c r="D553" t="s">
        <v>1774</v>
      </c>
    </row>
    <row r="555" spans="1:4" ht="15">
      <c r="A555" s="11" t="s">
        <v>1775</v>
      </c>
    </row>
    <row r="556" spans="1:4">
      <c r="A556" t="s">
        <v>1776</v>
      </c>
    </row>
    <row r="557" spans="1:4">
      <c r="A557" t="s">
        <v>1777</v>
      </c>
    </row>
    <row r="558" spans="1:4">
      <c r="A558" t="s">
        <v>1778</v>
      </c>
    </row>
    <row r="559" spans="1:4">
      <c r="A559" t="s">
        <v>1779</v>
      </c>
    </row>
    <row r="560" spans="1:4">
      <c r="A560" t="s">
        <v>1780</v>
      </c>
    </row>
    <row r="562" spans="1:4" ht="15">
      <c r="A562" s="11" t="s">
        <v>1781</v>
      </c>
    </row>
    <row r="563" spans="1:4">
      <c r="A563" t="s">
        <v>1782</v>
      </c>
    </row>
    <row r="564" spans="1:4">
      <c r="A564" t="s">
        <v>1783</v>
      </c>
    </row>
    <row r="566" spans="1:4" ht="15">
      <c r="A566" s="11" t="s">
        <v>1784</v>
      </c>
    </row>
    <row r="568" spans="1:4" ht="15">
      <c r="A568" s="242" t="s">
        <v>1785</v>
      </c>
    </row>
    <row r="569" spans="1:4">
      <c r="A569" t="s">
        <v>1786</v>
      </c>
    </row>
    <row r="571" spans="1:4" ht="15">
      <c r="A571" s="419" t="s">
        <v>782</v>
      </c>
      <c r="B571" s="464" t="s">
        <v>838</v>
      </c>
      <c r="C571" s="464" t="s">
        <v>841</v>
      </c>
      <c r="D571" s="464" t="s">
        <v>1787</v>
      </c>
    </row>
    <row r="572" spans="1:4">
      <c r="A572" t="s">
        <v>1788</v>
      </c>
      <c r="B572" s="465">
        <v>0.08</v>
      </c>
      <c r="C572" s="421" t="s">
        <v>1789</v>
      </c>
      <c r="D572" s="466">
        <v>2.5000000000000001E-2</v>
      </c>
    </row>
    <row r="573" spans="1:4" ht="15">
      <c r="A573" t="s">
        <v>1790</v>
      </c>
      <c r="B573" s="450" t="s">
        <v>1791</v>
      </c>
      <c r="C573" s="450" t="s">
        <v>1792</v>
      </c>
      <c r="D573" s="467">
        <v>0.02</v>
      </c>
    </row>
    <row r="574" spans="1:4">
      <c r="A574" t="s">
        <v>1793</v>
      </c>
      <c r="B574" s="465">
        <v>0.12</v>
      </c>
      <c r="C574" s="421" t="s">
        <v>1730</v>
      </c>
      <c r="D574" s="466">
        <v>1.4999999999999999E-2</v>
      </c>
    </row>
    <row r="575" spans="1:4">
      <c r="A575" t="s">
        <v>1462</v>
      </c>
      <c r="B575" s="468">
        <v>0.08</v>
      </c>
      <c r="C575" s="469" t="s">
        <v>1730</v>
      </c>
      <c r="D575" s="465">
        <v>0.02</v>
      </c>
    </row>
    <row r="577" spans="1:4" ht="15">
      <c r="A577" s="242" t="s">
        <v>1593</v>
      </c>
    </row>
    <row r="578" spans="1:4">
      <c r="A578" t="s">
        <v>1794</v>
      </c>
    </row>
    <row r="579" spans="1:4">
      <c r="A579" t="s">
        <v>1795</v>
      </c>
    </row>
    <row r="580" spans="1:4">
      <c r="A580" t="s">
        <v>1796</v>
      </c>
    </row>
    <row r="581" spans="1:4">
      <c r="A581" t="s">
        <v>1797</v>
      </c>
    </row>
    <row r="583" spans="1:4" ht="15">
      <c r="A583" s="463" t="s">
        <v>1798</v>
      </c>
    </row>
    <row r="585" spans="1:4">
      <c r="A585" s="209" t="s">
        <v>1799</v>
      </c>
    </row>
    <row r="587" spans="1:4" ht="16.5">
      <c r="A587" s="208" t="s">
        <v>1867</v>
      </c>
      <c r="B587" s="594"/>
      <c r="C587" s="594"/>
      <c r="D587" s="594"/>
    </row>
    <row r="588" spans="1:4">
      <c r="A588" s="241" t="s">
        <v>1868</v>
      </c>
      <c r="B588" s="594"/>
      <c r="C588" s="594"/>
      <c r="D588" s="594"/>
    </row>
    <row r="589" spans="1:4">
      <c r="A589" s="594"/>
      <c r="B589" s="594"/>
      <c r="C589" s="594"/>
      <c r="D589" s="594"/>
    </row>
    <row r="590" spans="1:4" ht="15">
      <c r="A590" s="242" t="s">
        <v>1869</v>
      </c>
      <c r="B590" s="473"/>
      <c r="C590" s="473"/>
      <c r="D590" s="473"/>
    </row>
    <row r="591" spans="1:4">
      <c r="A591" s="472" t="s">
        <v>1870</v>
      </c>
      <c r="B591" s="472"/>
      <c r="C591" s="472"/>
      <c r="D591" s="472"/>
    </row>
    <row r="592" spans="1:4">
      <c r="A592" s="472" t="s">
        <v>1871</v>
      </c>
      <c r="B592" s="472"/>
      <c r="C592" s="472"/>
      <c r="D592" s="472"/>
    </row>
    <row r="593" spans="1:4">
      <c r="A593" s="472" t="s">
        <v>1872</v>
      </c>
      <c r="B593" s="472"/>
      <c r="C593" s="472"/>
      <c r="D593" s="472"/>
    </row>
    <row r="594" spans="1:4">
      <c r="A594" s="472" t="s">
        <v>1873</v>
      </c>
      <c r="B594" s="472"/>
      <c r="C594" s="472"/>
      <c r="D594" s="472"/>
    </row>
    <row r="595" spans="1:4">
      <c r="A595" s="594"/>
      <c r="B595" s="594"/>
      <c r="C595" s="594"/>
      <c r="D595" s="594"/>
    </row>
    <row r="596" spans="1:4">
      <c r="A596" s="243" t="s">
        <v>1874</v>
      </c>
      <c r="B596" s="243" t="s">
        <v>1875</v>
      </c>
      <c r="C596" s="243" t="s">
        <v>1876</v>
      </c>
      <c r="D596" s="243" t="s">
        <v>1698</v>
      </c>
    </row>
    <row r="597" spans="1:4">
      <c r="A597" s="471" t="s">
        <v>1877</v>
      </c>
      <c r="B597" s="472" t="s">
        <v>1678</v>
      </c>
      <c r="C597" s="472" t="s">
        <v>1878</v>
      </c>
      <c r="D597" s="472" t="s">
        <v>1879</v>
      </c>
    </row>
    <row r="598" spans="1:4">
      <c r="A598" s="471" t="s">
        <v>1880</v>
      </c>
      <c r="B598" s="595">
        <v>4.4999999999999998E-2</v>
      </c>
      <c r="C598" s="595">
        <v>0.03</v>
      </c>
      <c r="D598" s="472" t="s">
        <v>1881</v>
      </c>
    </row>
    <row r="599" spans="1:4">
      <c r="A599" s="471" t="s">
        <v>1882</v>
      </c>
      <c r="B599" s="472" t="s">
        <v>1883</v>
      </c>
      <c r="C599" s="472" t="s">
        <v>1884</v>
      </c>
      <c r="D599" s="472" t="s">
        <v>1885</v>
      </c>
    </row>
    <row r="600" spans="1:4">
      <c r="A600" s="471" t="s">
        <v>1886</v>
      </c>
      <c r="B600" s="472" t="s">
        <v>1884</v>
      </c>
      <c r="C600" s="472" t="s">
        <v>1887</v>
      </c>
      <c r="D600" s="472" t="s">
        <v>1888</v>
      </c>
    </row>
    <row r="601" spans="1:4">
      <c r="A601" s="471" t="s">
        <v>838</v>
      </c>
      <c r="B601" s="596">
        <v>0.08</v>
      </c>
      <c r="C601" s="596">
        <v>0.09</v>
      </c>
      <c r="D601" s="472" t="s">
        <v>1889</v>
      </c>
    </row>
    <row r="602" spans="1:4">
      <c r="A602" s="471" t="s">
        <v>1890</v>
      </c>
      <c r="B602" s="472" t="s">
        <v>1730</v>
      </c>
      <c r="C602" s="472" t="s">
        <v>1792</v>
      </c>
      <c r="D602" s="472" t="s">
        <v>1891</v>
      </c>
    </row>
    <row r="603" spans="1:4">
      <c r="A603" s="594"/>
      <c r="B603" s="594"/>
      <c r="C603" s="594"/>
      <c r="D603" s="594"/>
    </row>
    <row r="604" spans="1:4" ht="15">
      <c r="A604" s="242" t="s">
        <v>1892</v>
      </c>
      <c r="B604" s="473"/>
      <c r="C604" s="473"/>
      <c r="D604" s="473"/>
    </row>
    <row r="605" spans="1:4">
      <c r="A605" s="472" t="s">
        <v>1893</v>
      </c>
      <c r="B605" s="472"/>
      <c r="C605" s="472"/>
      <c r="D605" s="472"/>
    </row>
    <row r="606" spans="1:4">
      <c r="A606" s="472" t="s">
        <v>1894</v>
      </c>
      <c r="B606" s="472"/>
      <c r="C606" s="472"/>
      <c r="D606" s="472"/>
    </row>
    <row r="607" spans="1:4">
      <c r="A607" s="472" t="s">
        <v>1895</v>
      </c>
      <c r="B607" s="472"/>
      <c r="C607" s="472"/>
      <c r="D607" s="472"/>
    </row>
    <row r="608" spans="1:4">
      <c r="A608" s="472" t="s">
        <v>1896</v>
      </c>
      <c r="B608" s="472"/>
      <c r="C608" s="472"/>
      <c r="D608" s="472"/>
    </row>
    <row r="609" spans="1:4">
      <c r="A609" s="472" t="s">
        <v>1897</v>
      </c>
      <c r="B609" s="472"/>
      <c r="C609" s="472"/>
      <c r="D609" s="472"/>
    </row>
    <row r="610" spans="1:4">
      <c r="A610" s="594"/>
      <c r="B610" s="594"/>
      <c r="C610" s="594"/>
      <c r="D610" s="594"/>
    </row>
    <row r="611" spans="1:4" ht="15">
      <c r="A611" s="242" t="s">
        <v>1898</v>
      </c>
      <c r="B611" s="473"/>
      <c r="C611" s="473"/>
      <c r="D611" s="473"/>
    </row>
    <row r="612" spans="1:4">
      <c r="A612" s="472" t="s">
        <v>1899</v>
      </c>
      <c r="B612" s="472"/>
      <c r="C612" s="472"/>
      <c r="D612" s="472"/>
    </row>
    <row r="613" spans="1:4">
      <c r="A613" s="472" t="s">
        <v>1900</v>
      </c>
      <c r="B613" s="472"/>
      <c r="C613" s="472"/>
      <c r="D613" s="472"/>
    </row>
    <row r="614" spans="1:4">
      <c r="A614" s="472" t="s">
        <v>1901</v>
      </c>
      <c r="B614" s="472"/>
      <c r="C614" s="472"/>
      <c r="D614" s="472"/>
    </row>
    <row r="615" spans="1:4">
      <c r="A615" s="472" t="s">
        <v>1902</v>
      </c>
      <c r="B615" s="472"/>
      <c r="C615" s="472"/>
      <c r="D615" s="472"/>
    </row>
    <row r="616" spans="1:4">
      <c r="A616" s="472" t="s">
        <v>1903</v>
      </c>
      <c r="B616" s="472"/>
      <c r="C616" s="472"/>
      <c r="D616" s="472"/>
    </row>
    <row r="617" spans="1:4">
      <c r="A617" s="472" t="s">
        <v>1904</v>
      </c>
      <c r="B617" s="472"/>
      <c r="C617" s="472"/>
      <c r="D617" s="472"/>
    </row>
    <row r="618" spans="1:4">
      <c r="A618" s="472" t="s">
        <v>1905</v>
      </c>
      <c r="B618" s="472"/>
      <c r="C618" s="472"/>
      <c r="D618" s="472"/>
    </row>
    <row r="619" spans="1:4">
      <c r="A619" s="594"/>
      <c r="B619" s="594"/>
      <c r="C619" s="594"/>
      <c r="D619" s="594"/>
    </row>
    <row r="620" spans="1:4" ht="15">
      <c r="A620" s="242" t="s">
        <v>1906</v>
      </c>
      <c r="B620" s="473"/>
      <c r="C620" s="473"/>
      <c r="D620" s="473"/>
    </row>
    <row r="621" spans="1:4">
      <c r="A621" s="472" t="s">
        <v>1907</v>
      </c>
      <c r="B621" s="472"/>
      <c r="C621" s="472"/>
      <c r="D621" s="472"/>
    </row>
    <row r="622" spans="1:4">
      <c r="A622" s="472" t="s">
        <v>1908</v>
      </c>
      <c r="B622" s="472"/>
      <c r="C622" s="472"/>
      <c r="D622" s="472"/>
    </row>
    <row r="623" spans="1:4">
      <c r="A623" s="472" t="s">
        <v>1909</v>
      </c>
      <c r="B623" s="472"/>
      <c r="C623" s="472"/>
      <c r="D623" s="472"/>
    </row>
    <row r="624" spans="1:4">
      <c r="A624" s="472" t="s">
        <v>1910</v>
      </c>
      <c r="B624" s="472"/>
      <c r="C624" s="472"/>
      <c r="D624" s="472"/>
    </row>
    <row r="625" spans="1:4">
      <c r="A625" s="594"/>
      <c r="B625" s="594"/>
      <c r="C625" s="594"/>
      <c r="D625" s="594"/>
    </row>
    <row r="626" spans="1:4" ht="15">
      <c r="A626" s="242" t="s">
        <v>1911</v>
      </c>
      <c r="B626" s="473"/>
      <c r="C626" s="473"/>
      <c r="D626" s="473"/>
    </row>
    <row r="627" spans="1:4">
      <c r="A627" s="472" t="s">
        <v>1912</v>
      </c>
      <c r="B627" s="472"/>
      <c r="C627" s="472"/>
      <c r="D627" s="472"/>
    </row>
    <row r="628" spans="1:4">
      <c r="A628" s="472" t="s">
        <v>1913</v>
      </c>
      <c r="B628" s="472"/>
      <c r="C628" s="472"/>
      <c r="D628" s="472"/>
    </row>
    <row r="629" spans="1:4">
      <c r="A629" s="472" t="s">
        <v>1914</v>
      </c>
      <c r="B629" s="472"/>
      <c r="C629" s="472"/>
      <c r="D629" s="472"/>
    </row>
    <row r="630" spans="1:4">
      <c r="A630" s="472" t="s">
        <v>1915</v>
      </c>
      <c r="B630" s="472"/>
      <c r="C630" s="472"/>
      <c r="D630" s="472"/>
    </row>
    <row r="631" spans="1:4">
      <c r="A631" s="594"/>
      <c r="B631" s="594"/>
      <c r="C631" s="594"/>
      <c r="D631" s="594"/>
    </row>
    <row r="632" spans="1:4" ht="15">
      <c r="A632" s="242" t="s">
        <v>1916</v>
      </c>
      <c r="B632" s="473"/>
      <c r="C632" s="473"/>
      <c r="D632" s="473"/>
    </row>
    <row r="633" spans="1:4">
      <c r="A633" s="472" t="s">
        <v>1917</v>
      </c>
      <c r="B633" s="472"/>
      <c r="C633" s="472"/>
      <c r="D633" s="472"/>
    </row>
    <row r="634" spans="1:4">
      <c r="A634" s="472" t="s">
        <v>1918</v>
      </c>
      <c r="B634" s="472"/>
      <c r="C634" s="472"/>
      <c r="D634" s="472"/>
    </row>
    <row r="635" spans="1:4">
      <c r="A635" s="472" t="s">
        <v>1919</v>
      </c>
      <c r="B635" s="472"/>
      <c r="C635" s="472"/>
      <c r="D635" s="472"/>
    </row>
    <row r="636" spans="1:4">
      <c r="A636" s="594"/>
      <c r="B636" s="594"/>
      <c r="C636" s="594"/>
      <c r="D636" s="594"/>
    </row>
    <row r="637" spans="1:4">
      <c r="A637" s="243" t="s">
        <v>1920</v>
      </c>
      <c r="B637" s="243" t="s">
        <v>1875</v>
      </c>
      <c r="C637" s="243" t="s">
        <v>1921</v>
      </c>
      <c r="D637" s="243" t="s">
        <v>1922</v>
      </c>
    </row>
    <row r="638" spans="1:4">
      <c r="A638" s="471" t="s">
        <v>1849</v>
      </c>
      <c r="B638" s="472" t="s">
        <v>1669</v>
      </c>
      <c r="C638" s="472" t="s">
        <v>1923</v>
      </c>
      <c r="D638" s="472" t="s">
        <v>1924</v>
      </c>
    </row>
    <row r="639" spans="1:4">
      <c r="A639" s="471" t="s">
        <v>674</v>
      </c>
      <c r="B639" s="472" t="s">
        <v>1925</v>
      </c>
      <c r="C639" s="595">
        <v>0.20599999999999999</v>
      </c>
      <c r="D639" s="472" t="s">
        <v>1926</v>
      </c>
    </row>
    <row r="640" spans="1:4">
      <c r="A640" s="471" t="s">
        <v>1927</v>
      </c>
      <c r="B640" s="472" t="s">
        <v>1928</v>
      </c>
      <c r="C640" s="595">
        <v>0.38100000000000001</v>
      </c>
      <c r="D640" s="472" t="s">
        <v>1929</v>
      </c>
    </row>
    <row r="641" spans="1:4">
      <c r="A641" s="471" t="s">
        <v>1930</v>
      </c>
      <c r="B641" s="472" t="s">
        <v>1931</v>
      </c>
      <c r="C641" s="472" t="s">
        <v>1932</v>
      </c>
      <c r="D641" s="472" t="s">
        <v>1933</v>
      </c>
    </row>
    <row r="642" spans="1:4">
      <c r="A642" s="471" t="s">
        <v>662</v>
      </c>
      <c r="B642" s="472" t="s">
        <v>1934</v>
      </c>
      <c r="C642" s="472" t="s">
        <v>1935</v>
      </c>
      <c r="D642" s="472" t="s">
        <v>1936</v>
      </c>
    </row>
    <row r="643" spans="1:4">
      <c r="A643" s="471" t="s">
        <v>664</v>
      </c>
      <c r="B643" s="472" t="s">
        <v>1937</v>
      </c>
      <c r="C643" s="472" t="s">
        <v>1938</v>
      </c>
      <c r="D643" s="472" t="s">
        <v>1939</v>
      </c>
    </row>
    <row r="644" spans="1:4">
      <c r="A644" s="594"/>
      <c r="B644" s="594"/>
      <c r="C644" s="594"/>
      <c r="D644" s="594"/>
    </row>
    <row r="645" spans="1:4" ht="15">
      <c r="A645" s="242" t="s">
        <v>1940</v>
      </c>
      <c r="B645" s="473"/>
      <c r="C645" s="473"/>
      <c r="D645" s="473"/>
    </row>
    <row r="646" spans="1:4">
      <c r="A646" s="472" t="s">
        <v>1941</v>
      </c>
      <c r="B646" s="472"/>
      <c r="C646" s="472"/>
      <c r="D646" s="472"/>
    </row>
    <row r="647" spans="1:4">
      <c r="A647" s="472" t="s">
        <v>1942</v>
      </c>
      <c r="B647" s="472"/>
      <c r="C647" s="472"/>
      <c r="D647" s="472"/>
    </row>
    <row r="648" spans="1:4">
      <c r="A648" s="472" t="s">
        <v>1970</v>
      </c>
      <c r="B648" s="472"/>
      <c r="C648" s="472"/>
      <c r="D648" s="472"/>
    </row>
    <row r="649" spans="1:4">
      <c r="A649" s="472" t="s">
        <v>1943</v>
      </c>
      <c r="B649" s="472"/>
      <c r="C649" s="472"/>
      <c r="D649" s="472"/>
    </row>
    <row r="650" spans="1:4">
      <c r="A650" s="472" t="s">
        <v>1944</v>
      </c>
      <c r="B650" s="472"/>
      <c r="C650" s="472"/>
      <c r="D650" s="472"/>
    </row>
    <row r="651" spans="1:4">
      <c r="A651" s="472" t="s">
        <v>1945</v>
      </c>
      <c r="B651" s="472"/>
      <c r="C651" s="472"/>
      <c r="D651" s="472"/>
    </row>
    <row r="652" spans="1:4">
      <c r="A652" s="472" t="s">
        <v>1946</v>
      </c>
      <c r="B652" s="472"/>
      <c r="C652" s="472"/>
      <c r="D652" s="472"/>
    </row>
    <row r="653" spans="1:4">
      <c r="A653" s="594"/>
      <c r="B653" s="594"/>
      <c r="C653" s="594"/>
      <c r="D653" s="594"/>
    </row>
    <row r="654" spans="1:4">
      <c r="A654" s="241" t="s">
        <v>1947</v>
      </c>
      <c r="B654" s="594"/>
      <c r="C654" s="594"/>
      <c r="D654" s="59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D7201-9A86-478C-B375-F9386D39075F}">
  <dimension ref="A1:I117"/>
  <sheetViews>
    <sheetView zoomScale="130" zoomScaleNormal="130" workbookViewId="0">
      <pane ySplit="1" topLeftCell="A2" activePane="bottomLeft" state="frozen"/>
      <selection pane="bottomLeft" activeCell="B21" sqref="B21"/>
    </sheetView>
  </sheetViews>
  <sheetFormatPr defaultRowHeight="14.25"/>
  <cols>
    <col min="1" max="1" width="41.875" bestFit="1" customWidth="1"/>
    <col min="2" max="2" width="12.125" style="421" bestFit="1" customWidth="1"/>
  </cols>
  <sheetData>
    <row r="1" spans="1:8" ht="20.100000000000001" customHeight="1">
      <c r="A1" s="183" t="s">
        <v>1260</v>
      </c>
      <c r="B1" s="420"/>
      <c r="C1" s="184"/>
      <c r="D1" s="184"/>
      <c r="E1" s="184"/>
      <c r="F1" s="184"/>
      <c r="G1" s="184"/>
      <c r="H1" s="184"/>
    </row>
    <row r="2" spans="1:8" ht="15" customHeight="1">
      <c r="A2" s="186" t="s">
        <v>1261</v>
      </c>
    </row>
    <row r="3" spans="1:8" ht="15" customHeight="1">
      <c r="A3" s="188"/>
    </row>
    <row r="4" spans="1:8" ht="15" customHeight="1">
      <c r="A4" s="189" t="s">
        <v>1262</v>
      </c>
      <c r="B4" s="422"/>
      <c r="C4" s="193"/>
      <c r="D4" s="154"/>
      <c r="E4" s="154"/>
      <c r="F4" s="154"/>
      <c r="G4" s="154"/>
      <c r="H4" s="154"/>
    </row>
    <row r="5" spans="1:8" ht="15" customHeight="1">
      <c r="A5" s="190" t="s">
        <v>1263</v>
      </c>
      <c r="B5" s="423">
        <v>0</v>
      </c>
      <c r="C5" s="186" t="s">
        <v>1560</v>
      </c>
    </row>
    <row r="6" spans="1:8" ht="15" customHeight="1">
      <c r="A6" s="190" t="s">
        <v>1270</v>
      </c>
      <c r="B6" s="423">
        <v>10</v>
      </c>
      <c r="C6" s="186" t="s">
        <v>1560</v>
      </c>
    </row>
    <row r="7" spans="1:8" ht="15" customHeight="1">
      <c r="A7" s="190" t="s">
        <v>1264</v>
      </c>
      <c r="B7" s="207" t="s">
        <v>643</v>
      </c>
      <c r="C7" s="186" t="s">
        <v>1271</v>
      </c>
    </row>
    <row r="8" spans="1:8" ht="15" customHeight="1">
      <c r="A8" s="190" t="s">
        <v>1265</v>
      </c>
      <c r="B8" s="424">
        <v>3.2</v>
      </c>
      <c r="C8" s="188" t="s">
        <v>1275</v>
      </c>
    </row>
    <row r="9" spans="1:8" ht="15" customHeight="1">
      <c r="A9" s="188" t="s">
        <v>1275</v>
      </c>
      <c r="B9" s="425" t="s">
        <v>1275</v>
      </c>
      <c r="C9" s="187" t="s">
        <v>1275</v>
      </c>
    </row>
    <row r="10" spans="1:8" ht="15" customHeight="1">
      <c r="A10" s="189" t="s">
        <v>1266</v>
      </c>
      <c r="B10" s="422" t="s">
        <v>1275</v>
      </c>
      <c r="C10" s="193" t="s">
        <v>1275</v>
      </c>
      <c r="D10" s="154"/>
      <c r="E10" s="154"/>
      <c r="F10" s="154"/>
      <c r="G10" s="154"/>
      <c r="H10" s="154"/>
    </row>
    <row r="11" spans="1:8" ht="15" customHeight="1">
      <c r="A11" s="190" t="s">
        <v>821</v>
      </c>
      <c r="B11" s="207" t="s">
        <v>917</v>
      </c>
      <c r="C11" s="188" t="s">
        <v>1275</v>
      </c>
    </row>
    <row r="12" spans="1:8" ht="15" customHeight="1">
      <c r="A12" s="190" t="s">
        <v>1272</v>
      </c>
      <c r="B12" s="426">
        <v>6</v>
      </c>
      <c r="C12" s="186" t="s">
        <v>1276</v>
      </c>
    </row>
    <row r="13" spans="1:8" ht="15" customHeight="1">
      <c r="A13" s="190" t="s">
        <v>823</v>
      </c>
      <c r="B13" s="427">
        <v>0.2</v>
      </c>
      <c r="C13" s="186" t="s">
        <v>1273</v>
      </c>
    </row>
    <row r="14" spans="1:8" ht="15" customHeight="1">
      <c r="A14" s="190" t="s">
        <v>1267</v>
      </c>
      <c r="B14" s="336">
        <v>72</v>
      </c>
      <c r="C14" s="186" t="s">
        <v>1268</v>
      </c>
    </row>
    <row r="15" spans="1:8" ht="15" customHeight="1">
      <c r="A15" s="190" t="s">
        <v>1269</v>
      </c>
      <c r="B15" s="336">
        <v>512</v>
      </c>
      <c r="C15" s="187"/>
    </row>
    <row r="16" spans="1:8" ht="15" customHeight="1">
      <c r="A16" s="190" t="s">
        <v>1150</v>
      </c>
      <c r="B16" s="428">
        <f>B14*B15</f>
        <v>36864</v>
      </c>
      <c r="C16" s="187" t="s">
        <v>1275</v>
      </c>
    </row>
    <row r="17" spans="1:9" ht="15" customHeight="1">
      <c r="A17" s="191" t="s">
        <v>1274</v>
      </c>
      <c r="B17" s="429">
        <f>B16*24</f>
        <v>884736</v>
      </c>
    </row>
    <row r="18" spans="1:9" ht="15" customHeight="1">
      <c r="A18" s="204"/>
      <c r="B18" s="430"/>
      <c r="C18" s="204"/>
    </row>
    <row r="19" spans="1:9" ht="15" customHeight="1">
      <c r="A19" s="193" t="s">
        <v>1342</v>
      </c>
      <c r="B19" s="422"/>
      <c r="C19" s="193"/>
    </row>
    <row r="20" spans="1:9" ht="15" customHeight="1">
      <c r="A20" s="187" t="s">
        <v>1343</v>
      </c>
      <c r="B20" s="431">
        <v>3</v>
      </c>
      <c r="C20" s="185" t="s">
        <v>1344</v>
      </c>
    </row>
    <row r="21" spans="1:9" ht="15" customHeight="1">
      <c r="A21" s="187" t="s">
        <v>1345</v>
      </c>
      <c r="B21" s="432">
        <v>0</v>
      </c>
      <c r="C21" s="185" t="s">
        <v>1563</v>
      </c>
      <c r="I21" s="217">
        <f>'IRR Analysis'!B16</f>
        <v>0.20568046078310709</v>
      </c>
    </row>
    <row r="22" spans="1:9" ht="15" customHeight="1">
      <c r="A22" s="187" t="s">
        <v>1346</v>
      </c>
      <c r="B22" s="433">
        <v>365</v>
      </c>
    </row>
    <row r="23" spans="1:9" ht="15" customHeight="1">
      <c r="A23" s="444" t="s">
        <v>1347</v>
      </c>
      <c r="B23" s="445"/>
    </row>
    <row r="24" spans="1:9" ht="15" customHeight="1">
      <c r="A24" s="187" t="s">
        <v>1348</v>
      </c>
      <c r="B24" s="432">
        <v>0.7</v>
      </c>
    </row>
    <row r="25" spans="1:9" ht="15" customHeight="1">
      <c r="A25" s="187" t="s">
        <v>1349</v>
      </c>
      <c r="B25" s="432">
        <v>0.8</v>
      </c>
    </row>
    <row r="26" spans="1:9" ht="15" customHeight="1">
      <c r="A26" s="187" t="s">
        <v>1559</v>
      </c>
      <c r="B26" s="432">
        <v>0.9</v>
      </c>
      <c r="C26" s="185" t="s">
        <v>1350</v>
      </c>
    </row>
    <row r="27" spans="1:9" ht="15" customHeight="1"/>
    <row r="28" spans="1:9" ht="15" customHeight="1">
      <c r="A28" s="193" t="s">
        <v>1277</v>
      </c>
      <c r="B28" s="422"/>
      <c r="C28" s="193"/>
    </row>
    <row r="29" spans="1:9" ht="15" customHeight="1">
      <c r="A29" s="187" t="s">
        <v>1278</v>
      </c>
      <c r="B29" s="433">
        <v>130</v>
      </c>
    </row>
    <row r="30" spans="1:9" ht="15" customHeight="1">
      <c r="A30" s="187" t="s">
        <v>1279</v>
      </c>
      <c r="B30" s="433">
        <v>112</v>
      </c>
      <c r="C30" s="185" t="s">
        <v>1280</v>
      </c>
    </row>
    <row r="31" spans="1:9" ht="15" customHeight="1">
      <c r="A31" s="187" t="s">
        <v>1281</v>
      </c>
      <c r="B31" s="433">
        <v>130</v>
      </c>
      <c r="C31" s="185" t="s">
        <v>1282</v>
      </c>
    </row>
    <row r="32" spans="1:9" ht="15" customHeight="1">
      <c r="A32" s="187" t="s">
        <v>1345</v>
      </c>
      <c r="B32" s="432">
        <v>0.03</v>
      </c>
      <c r="C32" s="185" t="s">
        <v>1628</v>
      </c>
    </row>
    <row r="33" spans="1:3" ht="15" customHeight="1">
      <c r="A33" s="187" t="s">
        <v>1283</v>
      </c>
      <c r="B33" s="433">
        <v>8760</v>
      </c>
      <c r="C33" s="185" t="s">
        <v>1284</v>
      </c>
    </row>
    <row r="34" spans="1:3" ht="15" customHeight="1">
      <c r="A34" s="187" t="s">
        <v>1285</v>
      </c>
      <c r="B34" s="434">
        <f>B30*1000/B15</f>
        <v>218.75</v>
      </c>
      <c r="C34" s="185" t="s">
        <v>1286</v>
      </c>
    </row>
    <row r="35" spans="1:3" ht="15" customHeight="1">
      <c r="A35" s="205" t="s">
        <v>1287</v>
      </c>
      <c r="B35" s="435">
        <f>B30*B33*B31/1000000</f>
        <v>127.54559999999999</v>
      </c>
      <c r="C35" s="206" t="s">
        <v>1288</v>
      </c>
    </row>
    <row r="36" spans="1:3" ht="15" customHeight="1"/>
    <row r="37" spans="1:3" ht="15" customHeight="1">
      <c r="A37" s="193" t="s">
        <v>1289</v>
      </c>
      <c r="B37" s="422"/>
      <c r="C37" s="193"/>
    </row>
    <row r="38" spans="1:3" ht="15" customHeight="1">
      <c r="A38" s="187" t="s">
        <v>1290</v>
      </c>
      <c r="B38" s="432">
        <v>0.03</v>
      </c>
      <c r="C38" s="185" t="s">
        <v>1291</v>
      </c>
    </row>
    <row r="39" spans="1:3" ht="15" customHeight="1">
      <c r="A39" s="187" t="s">
        <v>1292</v>
      </c>
      <c r="B39" s="433">
        <v>90</v>
      </c>
    </row>
    <row r="40" spans="1:3" ht="15" customHeight="1">
      <c r="A40" s="187" t="s">
        <v>1293</v>
      </c>
      <c r="B40" s="433">
        <v>541875</v>
      </c>
      <c r="C40" s="185" t="s">
        <v>1294</v>
      </c>
    </row>
    <row r="41" spans="1:3" ht="15" customHeight="1">
      <c r="A41" s="187" t="s">
        <v>1295</v>
      </c>
      <c r="B41" s="436">
        <f>B40*12</f>
        <v>6502500</v>
      </c>
    </row>
    <row r="42" spans="1:3" ht="15" customHeight="1">
      <c r="A42" s="187" t="s">
        <v>1296</v>
      </c>
      <c r="B42" s="432">
        <v>0.4</v>
      </c>
    </row>
    <row r="43" spans="1:3" ht="15" customHeight="1">
      <c r="A43" s="187" t="s">
        <v>1297</v>
      </c>
      <c r="B43" s="433">
        <v>648000</v>
      </c>
    </row>
    <row r="44" spans="1:3" ht="15" customHeight="1">
      <c r="A44" s="187" t="s">
        <v>1298</v>
      </c>
      <c r="B44" s="433">
        <v>60000</v>
      </c>
    </row>
    <row r="45" spans="1:3" ht="15" customHeight="1">
      <c r="A45" s="187" t="s">
        <v>1299</v>
      </c>
      <c r="B45" s="433">
        <v>65000</v>
      </c>
    </row>
    <row r="46" spans="1:3" ht="15" customHeight="1">
      <c r="A46" s="187" t="s">
        <v>1300</v>
      </c>
      <c r="B46" s="433">
        <v>195000</v>
      </c>
    </row>
    <row r="47" spans="1:3" ht="15" customHeight="1">
      <c r="A47" s="187" t="s">
        <v>1558</v>
      </c>
      <c r="B47" s="433">
        <v>390000</v>
      </c>
    </row>
    <row r="48" spans="1:3" ht="15" customHeight="1">
      <c r="A48" s="187" t="s">
        <v>1301</v>
      </c>
      <c r="B48" s="433">
        <v>102400</v>
      </c>
      <c r="C48" s="185" t="s">
        <v>1302</v>
      </c>
    </row>
    <row r="49" spans="1:3" ht="15" customHeight="1">
      <c r="A49" s="187" t="s">
        <v>1303</v>
      </c>
      <c r="B49" s="433">
        <v>325000</v>
      </c>
    </row>
    <row r="50" spans="1:3" ht="15" customHeight="1">
      <c r="A50" s="187" t="s">
        <v>1304</v>
      </c>
      <c r="B50" s="433">
        <v>91000</v>
      </c>
    </row>
    <row r="51" spans="1:3" ht="15" customHeight="1">
      <c r="A51" s="187" t="s">
        <v>1305</v>
      </c>
      <c r="B51" s="433">
        <v>1500000</v>
      </c>
      <c r="C51" s="185" t="s">
        <v>1306</v>
      </c>
    </row>
    <row r="52" spans="1:3" ht="15" customHeight="1">
      <c r="A52" s="187" t="s">
        <v>1307</v>
      </c>
      <c r="B52" s="433">
        <v>13500000</v>
      </c>
    </row>
    <row r="53" spans="1:3" ht="15" customHeight="1">
      <c r="A53" s="413"/>
      <c r="B53" s="437"/>
      <c r="C53" s="413"/>
    </row>
    <row r="54" spans="1:3" ht="15" customHeight="1">
      <c r="A54" s="193" t="s">
        <v>1545</v>
      </c>
      <c r="B54" s="438"/>
      <c r="C54" s="416"/>
    </row>
    <row r="55" spans="1:3" ht="15" customHeight="1">
      <c r="A55" s="187" t="s">
        <v>1546</v>
      </c>
      <c r="B55" s="439">
        <v>0</v>
      </c>
      <c r="C55" s="185" t="s">
        <v>1547</v>
      </c>
    </row>
    <row r="56" spans="1:3" ht="15" customHeight="1">
      <c r="A56" s="187" t="s">
        <v>1548</v>
      </c>
      <c r="B56" s="439">
        <v>30</v>
      </c>
      <c r="C56" s="185" t="s">
        <v>1626</v>
      </c>
    </row>
    <row r="57" spans="1:3" ht="15" customHeight="1">
      <c r="A57" s="187" t="s">
        <v>1549</v>
      </c>
      <c r="B57" s="439">
        <v>45</v>
      </c>
      <c r="C57" s="185" t="s">
        <v>1627</v>
      </c>
    </row>
    <row r="58" spans="1:3" ht="15" customHeight="1">
      <c r="A58" s="187" t="s">
        <v>1346</v>
      </c>
      <c r="B58" s="439">
        <v>365</v>
      </c>
      <c r="C58" s="187"/>
    </row>
    <row r="59" spans="1:3" ht="15" customHeight="1">
      <c r="A59" s="414" t="s">
        <v>1550</v>
      </c>
      <c r="B59" s="440">
        <f>B55+B56-B57</f>
        <v>-15</v>
      </c>
      <c r="C59" s="185" t="s">
        <v>1551</v>
      </c>
    </row>
    <row r="60" spans="1:3" ht="15" customHeight="1">
      <c r="A60" s="413"/>
      <c r="B60" s="437"/>
      <c r="C60" s="413"/>
    </row>
    <row r="61" spans="1:3" ht="15" customHeight="1"/>
    <row r="62" spans="1:3" ht="15" customHeight="1">
      <c r="A62" s="193" t="s">
        <v>1308</v>
      </c>
      <c r="B62" s="422"/>
      <c r="C62" s="193"/>
    </row>
    <row r="63" spans="1:3" ht="15" customHeight="1">
      <c r="A63" s="195" t="s">
        <v>1309</v>
      </c>
    </row>
    <row r="64" spans="1:3" ht="15" customHeight="1">
      <c r="A64" s="187" t="s">
        <v>1310</v>
      </c>
      <c r="B64" s="433">
        <v>68800000</v>
      </c>
    </row>
    <row r="65" spans="1:3" ht="15" customHeight="1">
      <c r="A65" s="187" t="s">
        <v>1311</v>
      </c>
      <c r="B65" s="433">
        <v>531000000</v>
      </c>
    </row>
    <row r="66" spans="1:3" ht="15" customHeight="1">
      <c r="A66" s="187" t="s">
        <v>1312</v>
      </c>
      <c r="B66" s="436">
        <f>B15*B12*1000000</f>
        <v>3072000000</v>
      </c>
      <c r="C66" s="185" t="s">
        <v>1313</v>
      </c>
    </row>
    <row r="67" spans="1:3" ht="15" customHeight="1">
      <c r="A67" s="187" t="s">
        <v>1314</v>
      </c>
      <c r="B67" s="433">
        <v>100000</v>
      </c>
    </row>
    <row r="68" spans="1:3" ht="15" customHeight="1">
      <c r="A68" s="187" t="s">
        <v>1315</v>
      </c>
      <c r="B68" s="433">
        <v>50000</v>
      </c>
    </row>
    <row r="69" spans="1:3" ht="15" customHeight="1">
      <c r="A69" s="187" t="s">
        <v>1316</v>
      </c>
      <c r="B69" s="433">
        <v>100000</v>
      </c>
    </row>
    <row r="70" spans="1:3" ht="15" customHeight="1" thickBot="1">
      <c r="A70" s="196" t="s">
        <v>1317</v>
      </c>
      <c r="B70" s="441">
        <f>SUM(B64:B69)</f>
        <v>3672050000</v>
      </c>
      <c r="C70" s="197"/>
    </row>
    <row r="71" spans="1:3" ht="15" customHeight="1" thickTop="1">
      <c r="B71" s="47"/>
    </row>
    <row r="72" spans="1:3" ht="15" customHeight="1">
      <c r="A72" s="187" t="s">
        <v>670</v>
      </c>
      <c r="B72" s="446">
        <f>B66</f>
        <v>3072000000</v>
      </c>
      <c r="C72" s="185" t="s">
        <v>1318</v>
      </c>
    </row>
    <row r="73" spans="1:3" ht="15" customHeight="1">
      <c r="A73" s="187" t="s">
        <v>669</v>
      </c>
      <c r="B73" s="453">
        <f>CF!F79</f>
        <v>812047346.63087571</v>
      </c>
      <c r="C73" s="185" t="s">
        <v>1633</v>
      </c>
    </row>
    <row r="74" spans="1:3" ht="15" customHeight="1" thickBot="1">
      <c r="A74" s="196" t="s">
        <v>645</v>
      </c>
      <c r="B74" s="441">
        <f>B72+B73</f>
        <v>3884047346.6308756</v>
      </c>
      <c r="C74" s="197"/>
    </row>
    <row r="75" spans="1:3" ht="15" customHeight="1" thickTop="1">
      <c r="A75" s="187" t="s">
        <v>1319</v>
      </c>
      <c r="B75" s="442">
        <f>B72/B74</f>
        <v>0.79092753662355153</v>
      </c>
    </row>
    <row r="76" spans="1:3" ht="15" customHeight="1">
      <c r="A76" s="187" t="s">
        <v>641</v>
      </c>
      <c r="B76" s="432">
        <v>0.06</v>
      </c>
      <c r="C76" s="185" t="s">
        <v>1320</v>
      </c>
    </row>
    <row r="77" spans="1:3" ht="15" customHeight="1">
      <c r="A77" s="187" t="s">
        <v>1321</v>
      </c>
      <c r="B77" s="439">
        <v>9</v>
      </c>
      <c r="C77" s="185" t="s">
        <v>1866</v>
      </c>
    </row>
    <row r="78" spans="1:3" ht="15" customHeight="1">
      <c r="A78" s="187" t="s">
        <v>1322</v>
      </c>
      <c r="B78" s="436">
        <f>B72/B77</f>
        <v>341333333.33333331</v>
      </c>
    </row>
    <row r="79" spans="1:3" ht="15" customHeight="1"/>
    <row r="80" spans="1:3" ht="15" customHeight="1">
      <c r="A80" s="187" t="s">
        <v>1323</v>
      </c>
      <c r="B80" s="432">
        <v>0.19</v>
      </c>
    </row>
    <row r="81" spans="1:3" ht="15" customHeight="1">
      <c r="A81" s="187" t="s">
        <v>1324</v>
      </c>
      <c r="B81" s="433">
        <v>3800000</v>
      </c>
      <c r="C81" s="185" t="s">
        <v>1379</v>
      </c>
    </row>
    <row r="82" spans="1:3" ht="15" customHeight="1"/>
    <row r="83" spans="1:3" ht="15" customHeight="1">
      <c r="A83" s="195" t="s">
        <v>1325</v>
      </c>
    </row>
    <row r="84" spans="1:3" ht="15" customHeight="1">
      <c r="A84" s="187" t="s">
        <v>1326</v>
      </c>
      <c r="B84" s="432">
        <v>0.1</v>
      </c>
    </row>
    <row r="85" spans="1:3" ht="15" customHeight="1">
      <c r="A85" s="187" t="s">
        <v>1327</v>
      </c>
      <c r="B85" s="432">
        <v>0.3</v>
      </c>
    </row>
    <row r="86" spans="1:3" ht="15" customHeight="1">
      <c r="A86" s="187" t="s">
        <v>1310</v>
      </c>
      <c r="B86" s="432">
        <v>0</v>
      </c>
      <c r="C86" s="185" t="s">
        <v>1328</v>
      </c>
    </row>
    <row r="87" spans="1:3" ht="15" customHeight="1">
      <c r="A87" s="187" t="s">
        <v>1329</v>
      </c>
      <c r="B87" s="432">
        <v>0.05</v>
      </c>
    </row>
    <row r="88" spans="1:3" ht="15" customHeight="1">
      <c r="A88" s="187" t="s">
        <v>1330</v>
      </c>
      <c r="B88" s="432">
        <v>0.2</v>
      </c>
    </row>
    <row r="89" spans="1:3" ht="15" customHeight="1">
      <c r="A89" s="187" t="s">
        <v>1314</v>
      </c>
      <c r="B89" s="432">
        <v>0.3</v>
      </c>
    </row>
    <row r="90" spans="1:3" ht="15" customHeight="1">
      <c r="A90" s="187" t="s">
        <v>1331</v>
      </c>
      <c r="B90" s="432">
        <v>0.3</v>
      </c>
    </row>
    <row r="91" spans="1:3" ht="15" customHeight="1"/>
    <row r="92" spans="1:3" ht="15" customHeight="1">
      <c r="A92" s="193" t="s">
        <v>1332</v>
      </c>
      <c r="B92" s="422"/>
      <c r="C92" s="193"/>
    </row>
    <row r="93" spans="1:3" ht="15" customHeight="1">
      <c r="A93" s="187" t="s">
        <v>1333</v>
      </c>
      <c r="B93" s="432">
        <v>0.09</v>
      </c>
      <c r="C93" s="185" t="s">
        <v>1800</v>
      </c>
    </row>
    <row r="94" spans="1:3" ht="15" customHeight="1">
      <c r="A94" s="187" t="s">
        <v>640</v>
      </c>
      <c r="B94" s="432">
        <v>0.02</v>
      </c>
      <c r="C94" s="185" t="s">
        <v>840</v>
      </c>
    </row>
    <row r="95" spans="1:3" ht="15" customHeight="1">
      <c r="A95" s="187" t="s">
        <v>742</v>
      </c>
      <c r="B95" s="443">
        <v>14</v>
      </c>
      <c r="C95" s="185" t="s">
        <v>1801</v>
      </c>
    </row>
    <row r="96" spans="1:3" ht="15" customHeight="1">
      <c r="A96" s="187" t="s">
        <v>1334</v>
      </c>
      <c r="B96" s="229" t="s">
        <v>754</v>
      </c>
    </row>
    <row r="97" spans="1:3" ht="15" customHeight="1"/>
    <row r="98" spans="1:3" ht="15" customHeight="1">
      <c r="A98" s="195" t="s">
        <v>1335</v>
      </c>
    </row>
    <row r="99" spans="1:3" ht="15" customHeight="1">
      <c r="A99" s="187" t="s">
        <v>1557</v>
      </c>
      <c r="B99" s="433">
        <v>75000000</v>
      </c>
      <c r="C99" s="185" t="s">
        <v>1336</v>
      </c>
    </row>
    <row r="100" spans="1:3" ht="15" customHeight="1">
      <c r="A100" s="187" t="s">
        <v>1337</v>
      </c>
      <c r="B100" s="433">
        <v>200000000</v>
      </c>
      <c r="C100" s="185" t="s">
        <v>1338</v>
      </c>
    </row>
    <row r="101" spans="1:3" ht="15" customHeight="1">
      <c r="A101" s="187" t="s">
        <v>1339</v>
      </c>
      <c r="B101" s="433">
        <v>400000000</v>
      </c>
      <c r="C101" s="185" t="s">
        <v>1340</v>
      </c>
    </row>
    <row r="102" spans="1:3" ht="15" customHeight="1">
      <c r="A102" s="187" t="s">
        <v>1341</v>
      </c>
      <c r="B102" s="433">
        <v>100000</v>
      </c>
    </row>
    <row r="104" spans="1:3">
      <c r="B104"/>
    </row>
    <row r="105" spans="1:3">
      <c r="B105"/>
    </row>
    <row r="106" spans="1:3">
      <c r="B106"/>
    </row>
    <row r="107" spans="1:3">
      <c r="B107"/>
    </row>
    <row r="108" spans="1:3">
      <c r="B108"/>
    </row>
    <row r="109" spans="1:3">
      <c r="B109"/>
    </row>
    <row r="110" spans="1:3">
      <c r="B110"/>
    </row>
    <row r="111" spans="1:3">
      <c r="B111"/>
    </row>
    <row r="112" spans="1:3">
      <c r="B112"/>
    </row>
    <row r="113" spans="2:2">
      <c r="B113"/>
    </row>
    <row r="114" spans="2:2">
      <c r="B114"/>
    </row>
    <row r="115" spans="2:2">
      <c r="B115"/>
    </row>
    <row r="116" spans="2:2">
      <c r="B116"/>
    </row>
    <row r="117" spans="2:2">
      <c r="B117"/>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2739C-676B-49A9-B171-2FAE4B22D9AE}">
  <sheetPr>
    <tabColor theme="4" tint="0.499984740745262"/>
  </sheetPr>
  <dimension ref="A1:L64"/>
  <sheetViews>
    <sheetView zoomScale="130" zoomScaleNormal="130" workbookViewId="0">
      <pane ySplit="17" topLeftCell="A20" activePane="bottomLeft" state="frozen"/>
      <selection pane="bottomLeft" activeCell="B41" sqref="B41"/>
    </sheetView>
  </sheetViews>
  <sheetFormatPr defaultRowHeight="14.25"/>
  <cols>
    <col min="1" max="1" width="30" customWidth="1"/>
    <col min="2" max="12" width="15.875" customWidth="1"/>
  </cols>
  <sheetData>
    <row r="1" spans="1:12" ht="18" customHeight="1">
      <c r="A1" s="182" t="s">
        <v>636</v>
      </c>
      <c r="B1" s="182"/>
      <c r="C1" s="182"/>
      <c r="D1" s="182"/>
      <c r="E1" s="182"/>
      <c r="F1" s="182"/>
      <c r="G1" s="182"/>
      <c r="H1" s="182"/>
      <c r="I1" s="182"/>
      <c r="J1" s="182"/>
      <c r="K1" s="182"/>
      <c r="L1" s="182"/>
    </row>
    <row r="2" spans="1:12" ht="14.1" customHeight="1">
      <c r="A2" s="186" t="s">
        <v>1539</v>
      </c>
      <c r="B2" s="190"/>
      <c r="C2" s="190"/>
      <c r="D2" s="190"/>
      <c r="E2" s="190"/>
      <c r="F2" s="190"/>
      <c r="G2" s="190"/>
      <c r="H2" s="190"/>
      <c r="I2" s="190"/>
      <c r="J2" s="190"/>
      <c r="K2" s="190"/>
      <c r="L2" s="190"/>
    </row>
    <row r="3" spans="1:12" ht="14.1" customHeight="1">
      <c r="A3" s="189" t="s">
        <v>637</v>
      </c>
      <c r="B3" s="189"/>
      <c r="C3" s="189"/>
      <c r="D3" s="189"/>
      <c r="E3" s="189"/>
      <c r="F3" s="189"/>
      <c r="G3" s="189"/>
      <c r="H3" s="189"/>
      <c r="I3" s="189"/>
      <c r="J3" s="189"/>
      <c r="K3" s="189"/>
      <c r="L3" s="189"/>
    </row>
    <row r="4" spans="1:12" ht="14.1" customHeight="1">
      <c r="A4" s="187" t="s">
        <v>1323</v>
      </c>
      <c r="B4" s="217">
        <f>Assumptions!B80</f>
        <v>0.19</v>
      </c>
      <c r="C4" s="186" t="s">
        <v>639</v>
      </c>
      <c r="D4" s="190"/>
      <c r="E4" s="190"/>
      <c r="F4" s="190"/>
      <c r="G4" s="190"/>
      <c r="H4" s="190"/>
      <c r="I4" s="190"/>
      <c r="J4" s="190"/>
      <c r="K4" s="190"/>
      <c r="L4" s="190"/>
    </row>
    <row r="5" spans="1:12" ht="14.1" customHeight="1">
      <c r="A5" s="190" t="s">
        <v>638</v>
      </c>
      <c r="B5" s="217">
        <f>Assumptions!B93</f>
        <v>0.09</v>
      </c>
      <c r="C5" s="186" t="s">
        <v>639</v>
      </c>
      <c r="D5" s="190"/>
      <c r="E5" s="190"/>
      <c r="F5" s="190"/>
      <c r="G5" s="190"/>
      <c r="H5" s="190"/>
      <c r="I5" s="190"/>
      <c r="J5" s="190"/>
      <c r="K5" s="190"/>
      <c r="L5" s="190"/>
    </row>
    <row r="6" spans="1:12" ht="14.1" customHeight="1">
      <c r="A6" s="190" t="s">
        <v>640</v>
      </c>
      <c r="B6" s="217">
        <f>Assumptions!B94</f>
        <v>0.02</v>
      </c>
      <c r="C6" s="186" t="s">
        <v>639</v>
      </c>
      <c r="D6" s="190"/>
      <c r="E6" s="190"/>
      <c r="F6" s="190"/>
      <c r="G6" s="190"/>
      <c r="H6" s="190"/>
      <c r="I6" s="190"/>
      <c r="J6" s="190"/>
      <c r="K6" s="190"/>
      <c r="L6" s="190"/>
    </row>
    <row r="7" spans="1:12" ht="14.1" customHeight="1">
      <c r="A7" s="190" t="s">
        <v>641</v>
      </c>
      <c r="B7" s="217">
        <f>Assumptions!B76</f>
        <v>0.06</v>
      </c>
      <c r="C7" s="190"/>
      <c r="D7" s="190"/>
      <c r="E7" s="190"/>
      <c r="F7" s="190"/>
      <c r="G7" s="190"/>
      <c r="H7" s="190"/>
      <c r="I7" s="190"/>
      <c r="J7" s="190"/>
      <c r="K7" s="190"/>
      <c r="L7" s="190"/>
    </row>
    <row r="8" spans="1:12" ht="14.1" customHeight="1">
      <c r="A8" s="190" t="s">
        <v>642</v>
      </c>
      <c r="B8" s="219">
        <f>Assumptions!B73</f>
        <v>812047346.63087571</v>
      </c>
      <c r="C8" s="186" t="s">
        <v>643</v>
      </c>
      <c r="D8" s="190"/>
      <c r="E8" s="190"/>
      <c r="F8" s="190"/>
      <c r="G8" s="190"/>
      <c r="H8" s="190"/>
      <c r="I8" s="190"/>
      <c r="J8" s="190"/>
      <c r="K8" s="190"/>
      <c r="L8" s="190"/>
    </row>
    <row r="9" spans="1:12" ht="14.1" customHeight="1">
      <c r="A9" s="190" t="s">
        <v>644</v>
      </c>
      <c r="B9" s="219">
        <f>Assumptions!B72</f>
        <v>3072000000</v>
      </c>
      <c r="C9" s="186" t="s">
        <v>643</v>
      </c>
      <c r="D9" s="190"/>
      <c r="E9" s="190"/>
      <c r="F9" s="190"/>
      <c r="G9" s="190"/>
      <c r="H9" s="190"/>
      <c r="I9" s="190"/>
      <c r="J9" s="190"/>
      <c r="K9" s="190"/>
      <c r="L9" s="190"/>
    </row>
    <row r="10" spans="1:12" ht="14.1" customHeight="1">
      <c r="A10" s="190" t="s">
        <v>645</v>
      </c>
      <c r="B10" s="218">
        <f>B8+B9</f>
        <v>3884047346.6308756</v>
      </c>
      <c r="C10" s="186" t="s">
        <v>643</v>
      </c>
      <c r="D10" s="190"/>
      <c r="E10" s="190"/>
      <c r="F10" s="190"/>
      <c r="G10" s="190"/>
      <c r="H10" s="190"/>
      <c r="I10" s="190"/>
      <c r="J10" s="190"/>
      <c r="K10" s="190"/>
      <c r="L10" s="190"/>
    </row>
    <row r="11" spans="1:12" ht="14.1" customHeight="1">
      <c r="A11" s="190" t="s">
        <v>1237</v>
      </c>
      <c r="B11" s="219">
        <f>Assumptions!B99</f>
        <v>75000000</v>
      </c>
      <c r="C11" s="186" t="s">
        <v>1238</v>
      </c>
      <c r="D11" s="190"/>
      <c r="E11" s="190"/>
      <c r="F11" s="190"/>
      <c r="G11" s="190"/>
      <c r="H11" s="190"/>
      <c r="I11" s="190"/>
      <c r="J11" s="190"/>
      <c r="K11" s="190"/>
      <c r="L11" s="190"/>
    </row>
    <row r="12" spans="1:12" ht="14.1" customHeight="1">
      <c r="A12" s="190" t="s">
        <v>1239</v>
      </c>
      <c r="B12" s="219">
        <f>Assumptions!B100</f>
        <v>200000000</v>
      </c>
      <c r="C12" s="186" t="s">
        <v>1240</v>
      </c>
      <c r="D12" s="190"/>
      <c r="E12" s="190"/>
      <c r="F12" s="190"/>
      <c r="G12" s="190"/>
      <c r="H12" s="190"/>
      <c r="I12" s="190"/>
      <c r="J12" s="190"/>
      <c r="K12" s="190"/>
      <c r="L12" s="190"/>
    </row>
    <row r="13" spans="1:12" ht="14.1" customHeight="1">
      <c r="A13" s="190" t="s">
        <v>1241</v>
      </c>
      <c r="B13" s="219">
        <f>Assumptions!B101</f>
        <v>400000000</v>
      </c>
      <c r="C13" s="186" t="s">
        <v>1242</v>
      </c>
      <c r="D13" s="190"/>
      <c r="E13" s="190"/>
      <c r="F13" s="190"/>
      <c r="G13" s="190"/>
      <c r="H13" s="190"/>
      <c r="I13" s="190"/>
      <c r="J13" s="190"/>
      <c r="K13" s="190"/>
      <c r="L13" s="190"/>
    </row>
    <row r="14" spans="1:12" ht="14.1" customHeight="1">
      <c r="A14" s="190"/>
      <c r="B14" s="190"/>
      <c r="C14" s="190"/>
      <c r="D14" s="190"/>
      <c r="E14" s="190"/>
      <c r="F14" s="190"/>
      <c r="G14" s="190"/>
      <c r="H14" s="190"/>
      <c r="I14" s="190"/>
      <c r="J14" s="190"/>
      <c r="K14" s="190"/>
      <c r="L14" s="190"/>
    </row>
    <row r="15" spans="1:12" ht="14.1" customHeight="1">
      <c r="A15" s="189" t="s">
        <v>646</v>
      </c>
      <c r="B15" s="189"/>
      <c r="C15" s="189"/>
      <c r="D15" s="189"/>
      <c r="E15" s="189"/>
      <c r="F15" s="189"/>
      <c r="G15" s="189"/>
      <c r="H15" s="189"/>
      <c r="I15" s="189"/>
      <c r="J15" s="189"/>
      <c r="K15" s="189"/>
      <c r="L15" s="189"/>
    </row>
    <row r="16" spans="1:12" ht="14.1" customHeight="1">
      <c r="A16" s="189" t="s">
        <v>576</v>
      </c>
      <c r="B16" s="213">
        <v>0</v>
      </c>
      <c r="C16" s="213">
        <v>1</v>
      </c>
      <c r="D16" s="213">
        <v>2</v>
      </c>
      <c r="E16" s="213">
        <v>3</v>
      </c>
      <c r="F16" s="213">
        <v>4</v>
      </c>
      <c r="G16" s="213">
        <v>5</v>
      </c>
      <c r="H16" s="213">
        <v>6</v>
      </c>
      <c r="I16" s="213">
        <v>7</v>
      </c>
      <c r="J16" s="213">
        <v>8</v>
      </c>
      <c r="K16" s="213">
        <v>9</v>
      </c>
      <c r="L16" s="213" t="s">
        <v>647</v>
      </c>
    </row>
    <row r="17" spans="1:12" s="419" customFormat="1" ht="14.1" customHeight="1">
      <c r="A17" s="189" t="s">
        <v>648</v>
      </c>
      <c r="B17" s="213">
        <v>2026</v>
      </c>
      <c r="C17" s="213">
        <v>2027</v>
      </c>
      <c r="D17" s="213">
        <v>2028</v>
      </c>
      <c r="E17" s="213">
        <v>2029</v>
      </c>
      <c r="F17" s="213">
        <v>2030</v>
      </c>
      <c r="G17" s="213">
        <v>2031</v>
      </c>
      <c r="H17" s="213">
        <v>2032</v>
      </c>
      <c r="I17" s="213">
        <v>2033</v>
      </c>
      <c r="J17" s="213">
        <v>2034</v>
      </c>
      <c r="K17" s="213">
        <v>2035</v>
      </c>
      <c r="L17" s="213"/>
    </row>
    <row r="18" spans="1:12" ht="14.1" customHeight="1">
      <c r="A18" s="190" t="s">
        <v>285</v>
      </c>
      <c r="B18" s="219">
        <f>Analysis!C26</f>
        <v>-3604000</v>
      </c>
      <c r="C18" s="219">
        <f>Analysis!D26</f>
        <v>549682403.99999988</v>
      </c>
      <c r="D18" s="219">
        <f>Analysis!E26</f>
        <v>629844953.70000005</v>
      </c>
      <c r="E18" s="219">
        <f>Analysis!F26</f>
        <v>709102957.1085</v>
      </c>
      <c r="F18" s="219">
        <f>Analysis!G26</f>
        <v>704475641.62802243</v>
      </c>
      <c r="G18" s="219">
        <f>Analysis!H26</f>
        <v>699699585.74696469</v>
      </c>
      <c r="H18" s="219">
        <f>Analysis!I26</f>
        <v>694940153.47937369</v>
      </c>
      <c r="I18" s="219">
        <f>Analysis!J26</f>
        <v>690037938.24375486</v>
      </c>
      <c r="J18" s="219">
        <f>Analysis!K26</f>
        <v>684988656.55106759</v>
      </c>
      <c r="K18" s="219">
        <f>Analysis!L26</f>
        <v>679787896.40759957</v>
      </c>
      <c r="L18" s="218"/>
    </row>
    <row r="19" spans="1:12" ht="14.1" customHeight="1">
      <c r="A19" s="190" t="s">
        <v>649</v>
      </c>
      <c r="B19" s="218">
        <v>0</v>
      </c>
      <c r="C19" s="219">
        <f>-Analysis!D16</f>
        <v>-641005000</v>
      </c>
      <c r="D19" s="219">
        <f>-Analysis!E16</f>
        <v>-531793000</v>
      </c>
      <c r="E19" s="219">
        <f>-Analysis!F16</f>
        <v>-444226525</v>
      </c>
      <c r="F19" s="219">
        <f>-Analysis!G16</f>
        <v>-373985931.25</v>
      </c>
      <c r="G19" s="219">
        <f>-Analysis!H16</f>
        <v>-357615136.4375</v>
      </c>
      <c r="H19" s="219">
        <f>-Analysis!I16</f>
        <v>-384348894.94062501</v>
      </c>
      <c r="I19" s="219">
        <f>-Analysis!J16</f>
        <v>-325574627.81109381</v>
      </c>
      <c r="J19" s="219">
        <f>-Analysis!K16</f>
        <v>-278401893.31378907</v>
      </c>
      <c r="K19" s="219">
        <f>-Analysis!L16</f>
        <v>-240517967.66627458</v>
      </c>
      <c r="L19" s="218"/>
    </row>
    <row r="20" spans="1:12" ht="14.1" customHeight="1">
      <c r="A20" s="190" t="s">
        <v>650</v>
      </c>
      <c r="B20" s="218">
        <f t="shared" ref="B20:G20" si="0">B18+B19</f>
        <v>-3604000</v>
      </c>
      <c r="C20" s="218">
        <f t="shared" si="0"/>
        <v>-91322596.000000119</v>
      </c>
      <c r="D20" s="218">
        <f t="shared" si="0"/>
        <v>98051953.700000048</v>
      </c>
      <c r="E20" s="218">
        <f t="shared" si="0"/>
        <v>264876432.1085</v>
      </c>
      <c r="F20" s="218">
        <f t="shared" si="0"/>
        <v>330489710.37802243</v>
      </c>
      <c r="G20" s="218">
        <f t="shared" si="0"/>
        <v>342084449.30946469</v>
      </c>
      <c r="H20" s="218">
        <f>H18+H19</f>
        <v>310591258.53874868</v>
      </c>
      <c r="I20" s="218">
        <f>I18+I19</f>
        <v>364463310.43266106</v>
      </c>
      <c r="J20" s="218">
        <f>J18+J19</f>
        <v>406586763.23727852</v>
      </c>
      <c r="K20" s="218">
        <f>K18+K19</f>
        <v>439269928.74132502</v>
      </c>
      <c r="L20" s="218"/>
    </row>
    <row r="21" spans="1:12" ht="14.1" customHeight="1">
      <c r="A21" s="190" t="s">
        <v>1233</v>
      </c>
      <c r="B21" s="218">
        <v>0</v>
      </c>
      <c r="C21" s="218">
        <f>IF(B20&lt;0, B21-B20, MAX(0, B21-B22))</f>
        <v>3604000</v>
      </c>
      <c r="D21" s="218">
        <f>IF(C20&lt;0, C21-C20, MAX(0, C21-C22))</f>
        <v>94926596.000000119</v>
      </c>
      <c r="E21" s="218">
        <f>IF(D20&lt;0, D21-D20, MAX(0, D21-D22))</f>
        <v>0</v>
      </c>
      <c r="F21" s="218">
        <f>IF(E20&lt;0, E21-E20, MAX(0, E21-E22))</f>
        <v>0</v>
      </c>
      <c r="G21" s="218">
        <f>IF(F20&lt;0, F21-F20, MAX(0, F21-F22))</f>
        <v>0</v>
      </c>
      <c r="H21" s="218">
        <f>IF(G20&lt;0, G21-G20, MAX(0, G21-G22))</f>
        <v>0</v>
      </c>
      <c r="I21" s="218">
        <f>IF(H20&lt;0, H21-H20, MAX(0, H21-H22))</f>
        <v>0</v>
      </c>
      <c r="J21" s="218">
        <f>IF(I20&lt;0, I21-I20, MAX(0, I21-I22))</f>
        <v>0</v>
      </c>
      <c r="K21" s="218">
        <f>IF(J20&lt;0, J21-J20, MAX(0, J21-J22))</f>
        <v>0</v>
      </c>
      <c r="L21" s="218"/>
    </row>
    <row r="22" spans="1:12" ht="14.1" customHeight="1">
      <c r="A22" s="190" t="s">
        <v>1234</v>
      </c>
      <c r="B22" s="218">
        <v>0</v>
      </c>
      <c r="C22" s="218">
        <f>IF(C20&gt;0, MIN(C20, C21), 0)</f>
        <v>0</v>
      </c>
      <c r="D22" s="218">
        <f>IF(D20&gt;0, MIN(D20, D21), 0)</f>
        <v>94926596.000000119</v>
      </c>
      <c r="E22" s="218">
        <f>IF(E20&gt;0, MIN(E20, E21), 0)</f>
        <v>0</v>
      </c>
      <c r="F22" s="218">
        <f>IF(F20&gt;0, MIN(F20, F21), 0)</f>
        <v>0</v>
      </c>
      <c r="G22" s="218">
        <f>IF(G20&gt;0, MIN(G20, G21), 0)</f>
        <v>0</v>
      </c>
      <c r="H22" s="218">
        <f>IF(H20&gt;0, MIN(H20, H21), 0)</f>
        <v>0</v>
      </c>
      <c r="I22" s="218">
        <f>IF(I20&gt;0, MIN(I20, I21), 0)</f>
        <v>0</v>
      </c>
      <c r="J22" s="218">
        <f>IF(J20&gt;0, MIN(J20, J21), 0)</f>
        <v>0</v>
      </c>
      <c r="K22" s="218">
        <f>IF(K20&gt;0, MIN(K20, K21), 0)</f>
        <v>0</v>
      </c>
      <c r="L22" s="218"/>
    </row>
    <row r="23" spans="1:12" ht="14.1" customHeight="1">
      <c r="A23" s="190" t="s">
        <v>1235</v>
      </c>
      <c r="B23" s="218">
        <f t="shared" ref="B23:G23" si="1">MAX(0, B20-B22)</f>
        <v>0</v>
      </c>
      <c r="C23" s="218">
        <f t="shared" si="1"/>
        <v>0</v>
      </c>
      <c r="D23" s="218">
        <f t="shared" si="1"/>
        <v>3125357.6999999285</v>
      </c>
      <c r="E23" s="218">
        <f t="shared" si="1"/>
        <v>264876432.1085</v>
      </c>
      <c r="F23" s="218">
        <f t="shared" si="1"/>
        <v>330489710.37802243</v>
      </c>
      <c r="G23" s="218">
        <f t="shared" si="1"/>
        <v>342084449.30946469</v>
      </c>
      <c r="H23" s="218">
        <f>MAX(0, H20-H22)</f>
        <v>310591258.53874868</v>
      </c>
      <c r="I23" s="218">
        <f>MAX(0, I20-I22)</f>
        <v>364463310.43266106</v>
      </c>
      <c r="J23" s="218">
        <f>MAX(0, J20-J22)</f>
        <v>406586763.23727852</v>
      </c>
      <c r="K23" s="218">
        <f>MAX(0, K20-K22)</f>
        <v>439269928.74132502</v>
      </c>
      <c r="L23" s="218"/>
    </row>
    <row r="24" spans="1:12" ht="14.1" customHeight="1">
      <c r="A24" s="190" t="s">
        <v>1236</v>
      </c>
      <c r="B24" s="218">
        <f>-B23*$B$4</f>
        <v>0</v>
      </c>
      <c r="C24" s="218">
        <f t="shared" ref="C24:G24" si="2">-C23*$B$4</f>
        <v>0</v>
      </c>
      <c r="D24" s="218">
        <f t="shared" si="2"/>
        <v>-593817.96299998637</v>
      </c>
      <c r="E24" s="218">
        <f t="shared" si="2"/>
        <v>-50326522.100615002</v>
      </c>
      <c r="F24" s="218">
        <f t="shared" si="2"/>
        <v>-62793044.971824266</v>
      </c>
      <c r="G24" s="218">
        <f t="shared" si="2"/>
        <v>-64996045.368798293</v>
      </c>
      <c r="H24" s="218">
        <f>-H23*$B$4</f>
        <v>-59012339.122362249</v>
      </c>
      <c r="I24" s="218">
        <f>-I23*$B$4</f>
        <v>-69248028.9822056</v>
      </c>
      <c r="J24" s="218">
        <f>-J23*$B$4</f>
        <v>-77251485.015082926</v>
      </c>
      <c r="K24" s="218">
        <f>-K23*$B$4</f>
        <v>-83461286.460851759</v>
      </c>
      <c r="L24" s="218"/>
    </row>
    <row r="25" spans="1:12" ht="14.1" customHeight="1">
      <c r="A25" s="190" t="s">
        <v>757</v>
      </c>
      <c r="B25" s="218">
        <v>0</v>
      </c>
      <c r="C25" s="219">
        <f>Assumptions!$B$81</f>
        <v>3800000</v>
      </c>
      <c r="D25" s="219">
        <f>Assumptions!$B$81</f>
        <v>3800000</v>
      </c>
      <c r="E25" s="219">
        <f>Assumptions!$B$81</f>
        <v>3800000</v>
      </c>
      <c r="F25" s="219">
        <f>Assumptions!$B$81</f>
        <v>3800000</v>
      </c>
      <c r="G25" s="219">
        <f>Assumptions!$B$81</f>
        <v>3800000</v>
      </c>
      <c r="H25" s="219">
        <f>Assumptions!$B$81</f>
        <v>3800000</v>
      </c>
      <c r="I25" s="219">
        <f>Assumptions!$B$81</f>
        <v>3800000</v>
      </c>
      <c r="J25" s="219">
        <f>Assumptions!$B$81</f>
        <v>3800000</v>
      </c>
      <c r="K25" s="219">
        <f>Assumptions!$B$81</f>
        <v>3800000</v>
      </c>
      <c r="L25" s="218"/>
    </row>
    <row r="26" spans="1:12" ht="14.1" customHeight="1">
      <c r="A26" s="215" t="s">
        <v>651</v>
      </c>
      <c r="B26" s="220">
        <f t="shared" ref="B26:G26" si="3">B20+B24+B25</f>
        <v>-3604000</v>
      </c>
      <c r="C26" s="220">
        <f t="shared" si="3"/>
        <v>-87522596.000000119</v>
      </c>
      <c r="D26" s="220">
        <f t="shared" si="3"/>
        <v>101258135.73700006</v>
      </c>
      <c r="E26" s="220">
        <f t="shared" si="3"/>
        <v>218349910.00788501</v>
      </c>
      <c r="F26" s="220">
        <f t="shared" si="3"/>
        <v>271496665.40619814</v>
      </c>
      <c r="G26" s="220">
        <f t="shared" si="3"/>
        <v>280888403.94066638</v>
      </c>
      <c r="H26" s="220">
        <f>H20+H24+H25</f>
        <v>255378919.41638643</v>
      </c>
      <c r="I26" s="220">
        <f>I20+I24+I25</f>
        <v>299015281.45045543</v>
      </c>
      <c r="J26" s="220">
        <f>J20+J24+J25</f>
        <v>333135278.22219563</v>
      </c>
      <c r="K26" s="220">
        <f>K20+K24+K25</f>
        <v>359608642.28047323</v>
      </c>
      <c r="L26" s="220"/>
    </row>
    <row r="27" spans="1:12" ht="14.1" customHeight="1">
      <c r="A27" s="190" t="s">
        <v>652</v>
      </c>
      <c r="B27" s="218">
        <f t="shared" ref="B27:G27" si="4">-B19</f>
        <v>0</v>
      </c>
      <c r="C27" s="218">
        <f t="shared" si="4"/>
        <v>641005000</v>
      </c>
      <c r="D27" s="218">
        <f t="shared" si="4"/>
        <v>531793000</v>
      </c>
      <c r="E27" s="218">
        <f t="shared" si="4"/>
        <v>444226525</v>
      </c>
      <c r="F27" s="218">
        <f t="shared" si="4"/>
        <v>373985931.25</v>
      </c>
      <c r="G27" s="218">
        <f t="shared" si="4"/>
        <v>357615136.4375</v>
      </c>
      <c r="H27" s="218">
        <f>-H19</f>
        <v>384348894.94062501</v>
      </c>
      <c r="I27" s="218">
        <f>-I19</f>
        <v>325574627.81109381</v>
      </c>
      <c r="J27" s="218">
        <f>-J19</f>
        <v>278401893.31378907</v>
      </c>
      <c r="K27" s="218">
        <f>-K19</f>
        <v>240517967.66627458</v>
      </c>
      <c r="L27" s="218"/>
    </row>
    <row r="28" spans="1:12" ht="14.1" customHeight="1">
      <c r="A28" s="190" t="s">
        <v>653</v>
      </c>
      <c r="B28" s="219">
        <f>-'D&amp;A CAPEX'!G52</f>
        <v>-3672050000</v>
      </c>
      <c r="C28" s="219">
        <f>-'D&amp;A CAPEX'!H52</f>
        <v>-75100000</v>
      </c>
      <c r="D28" s="219">
        <f>-'D&amp;A CAPEX'!I52</f>
        <v>-75100000</v>
      </c>
      <c r="E28" s="219">
        <f>-'D&amp;A CAPEX'!J52</f>
        <v>-75100000</v>
      </c>
      <c r="F28" s="219">
        <f>-'D&amp;A CAPEX'!K52</f>
        <v>-275100000</v>
      </c>
      <c r="G28" s="219">
        <f>-'D&amp;A CAPEX'!L52</f>
        <v>-475100000</v>
      </c>
      <c r="H28" s="219">
        <f>-'D&amp;A CAPEX'!M52</f>
        <v>-75100000</v>
      </c>
      <c r="I28" s="219">
        <f>-'D&amp;A CAPEX'!N52</f>
        <v>-75100000</v>
      </c>
      <c r="J28" s="219">
        <f>-'D&amp;A CAPEX'!O52</f>
        <v>-75100000</v>
      </c>
      <c r="K28" s="219">
        <f>-'D&amp;A CAPEX'!P52</f>
        <v>-75100000</v>
      </c>
      <c r="L28" s="218"/>
    </row>
    <row r="29" spans="1:12" ht="14.1" customHeight="1">
      <c r="A29" s="190" t="s">
        <v>654</v>
      </c>
      <c r="B29" s="219">
        <f>-NWC!F19</f>
        <v>444328.76712328766</v>
      </c>
      <c r="C29" s="219">
        <f>-NWC!G19</f>
        <v>38683805.424657539</v>
      </c>
      <c r="D29" s="219">
        <f>-NWC!H19</f>
        <v>-19366235.223287672</v>
      </c>
      <c r="E29" s="219">
        <f>-NWC!I19</f>
        <v>-16586089.447623298</v>
      </c>
      <c r="F29" s="219">
        <f>-NWC!J19</f>
        <v>-8089308.2798041254</v>
      </c>
      <c r="G29" s="219">
        <f>-NWC!K19</f>
        <v>-1429488.3614106998</v>
      </c>
      <c r="H29" s="219">
        <f>-NWC!L19</f>
        <v>3882722.1498143002</v>
      </c>
      <c r="I29" s="219">
        <f>-NWC!M19</f>
        <v>-6641759.8225371316</v>
      </c>
      <c r="J29" s="219">
        <f>-NWC!N19</f>
        <v>-5193302.4005692676</v>
      </c>
      <c r="K29" s="219">
        <f>-NWC!O19</f>
        <v>-4029431.3635125831</v>
      </c>
      <c r="L29" s="218"/>
    </row>
    <row r="30" spans="1:12" ht="14.1" customHeight="1">
      <c r="A30" s="203" t="s">
        <v>655</v>
      </c>
      <c r="B30" s="221">
        <f t="shared" ref="B30:G30" si="5">B26+B27+B28+B29</f>
        <v>-3675209671.2328768</v>
      </c>
      <c r="C30" s="221">
        <f t="shared" si="5"/>
        <v>517066209.4246574</v>
      </c>
      <c r="D30" s="221">
        <f t="shared" si="5"/>
        <v>538584900.51371241</v>
      </c>
      <c r="E30" s="221">
        <f t="shared" si="5"/>
        <v>570890345.56026173</v>
      </c>
      <c r="F30" s="221">
        <f t="shared" si="5"/>
        <v>362293288.37639403</v>
      </c>
      <c r="G30" s="221">
        <f t="shared" si="5"/>
        <v>161974052.01675573</v>
      </c>
      <c r="H30" s="221">
        <f>H26+H27+H28+H29</f>
        <v>568510536.50682569</v>
      </c>
      <c r="I30" s="221">
        <f>I26+I27+I28+I29</f>
        <v>542848149.43901205</v>
      </c>
      <c r="J30" s="221">
        <f>J26+J27+J28+J29</f>
        <v>531243869.13541549</v>
      </c>
      <c r="K30" s="221">
        <f>K26+K27+K28+K29</f>
        <v>520997178.5832352</v>
      </c>
      <c r="L30" s="221">
        <f>B63</f>
        <v>9517030549.7063942</v>
      </c>
    </row>
    <row r="31" spans="1:12" ht="14.1" customHeight="1">
      <c r="A31" s="190"/>
      <c r="B31" s="190"/>
      <c r="C31" s="190"/>
      <c r="D31" s="190"/>
      <c r="E31" s="190"/>
      <c r="F31" s="190"/>
      <c r="G31" s="190"/>
      <c r="H31" s="190"/>
      <c r="I31" s="190"/>
      <c r="J31" s="190"/>
      <c r="K31" s="190"/>
      <c r="L31" s="190"/>
    </row>
    <row r="32" spans="1:12" ht="14.1" customHeight="1">
      <c r="A32" s="189" t="s">
        <v>656</v>
      </c>
      <c r="B32" s="189"/>
      <c r="C32" s="189"/>
      <c r="D32" s="189"/>
      <c r="E32" s="189"/>
      <c r="F32" s="189"/>
      <c r="G32" s="189"/>
      <c r="H32" s="189"/>
      <c r="I32" s="189"/>
      <c r="J32" s="189"/>
      <c r="K32" s="189"/>
      <c r="L32" s="189"/>
    </row>
    <row r="33" spans="1:12" ht="14.1" customHeight="1">
      <c r="A33" s="190" t="s">
        <v>657</v>
      </c>
      <c r="B33" s="222">
        <v>1</v>
      </c>
      <c r="C33" s="222">
        <f>1/(1+$B$5)^(C16-0.5)</f>
        <v>0.95782628522115132</v>
      </c>
      <c r="D33" s="222">
        <f>1/(1+$B$5)^(D16-0.5)</f>
        <v>0.8787397112120654</v>
      </c>
      <c r="E33" s="222">
        <f>1/(1+$B$5)^(E16-0.5)</f>
        <v>0.80618322129547271</v>
      </c>
      <c r="F33" s="222">
        <f>1/(1+$B$5)^(F16-0.5)</f>
        <v>0.73961763421603011</v>
      </c>
      <c r="G33" s="222">
        <f>1/(1+$B$5)^(G16-0.5)</f>
        <v>0.67854828827158709</v>
      </c>
      <c r="H33" s="222">
        <f>1/(1+$B$5)^(H16-0.5)</f>
        <v>0.62252136538677716</v>
      </c>
      <c r="I33" s="222">
        <f>1/(1+$B$5)^(I16-0.5)</f>
        <v>0.57112051870346514</v>
      </c>
      <c r="J33" s="222">
        <f>1/(1+$B$5)^(J16-0.5)</f>
        <v>0.52396377862703225</v>
      </c>
      <c r="K33" s="222">
        <f>1/(1+$B$5)^(K16-0.5)</f>
        <v>0.48070071433672684</v>
      </c>
      <c r="L33" s="222">
        <f>1/(1+$B$5)^9</f>
        <v>0.46042777951630098</v>
      </c>
    </row>
    <row r="34" spans="1:12" ht="14.1" customHeight="1">
      <c r="A34" s="215" t="s">
        <v>658</v>
      </c>
      <c r="B34" s="220">
        <f>B30*B33</f>
        <v>-3675209671.2328768</v>
      </c>
      <c r="C34" s="220">
        <f t="shared" ref="B34:H34" si="6">C30*C33</f>
        <v>495259606.58660144</v>
      </c>
      <c r="D34" s="220">
        <f t="shared" si="6"/>
        <v>473275939.94059861</v>
      </c>
      <c r="E34" s="220">
        <f t="shared" si="6"/>
        <v>460242217.79025733</v>
      </c>
      <c r="F34" s="220">
        <f t="shared" si="6"/>
        <v>267958504.84129453</v>
      </c>
      <c r="G34" s="220">
        <f t="shared" si="6"/>
        <v>109907215.74038261</v>
      </c>
      <c r="H34" s="220">
        <f>H30*H33</f>
        <v>353909955.42299837</v>
      </c>
      <c r="I34" s="220">
        <f>I30*I33</f>
        <v>310031716.68482471</v>
      </c>
      <c r="J34" s="220">
        <f>J30*J33</f>
        <v>278352545.04463691</v>
      </c>
      <c r="K34" s="220">
        <f>K30*K33</f>
        <v>250443715.9123804</v>
      </c>
      <c r="L34" s="220">
        <f>L30*L33</f>
        <v>4381905243.5901165</v>
      </c>
    </row>
    <row r="35" spans="1:12" ht="14.1" customHeight="1">
      <c r="A35" s="190"/>
      <c r="B35" s="190"/>
      <c r="C35" s="190"/>
      <c r="D35" s="190"/>
      <c r="E35" s="190"/>
      <c r="F35" s="190"/>
      <c r="G35" s="190"/>
      <c r="H35" s="190"/>
      <c r="I35" s="190"/>
      <c r="J35" s="190"/>
      <c r="K35" s="190"/>
      <c r="L35" s="190"/>
    </row>
    <row r="36" spans="1:12" ht="14.1" customHeight="1">
      <c r="A36" s="189" t="s">
        <v>659</v>
      </c>
      <c r="B36" s="189"/>
      <c r="C36" s="189"/>
      <c r="D36" s="189"/>
      <c r="E36" s="189"/>
      <c r="F36" s="189"/>
      <c r="G36" s="189"/>
      <c r="H36" s="189"/>
      <c r="I36" s="189"/>
      <c r="J36" s="189"/>
      <c r="K36" s="189"/>
      <c r="L36" s="189"/>
    </row>
    <row r="37" spans="1:12" ht="14.1" customHeight="1">
      <c r="A37" s="190" t="s">
        <v>660</v>
      </c>
      <c r="B37" s="218">
        <f>SUM(B34:K34)</f>
        <v>-675828253.26890182</v>
      </c>
      <c r="C37" s="186" t="s">
        <v>643</v>
      </c>
      <c r="D37" s="190"/>
      <c r="E37" s="190"/>
      <c r="F37" s="190"/>
      <c r="G37" s="190"/>
      <c r="H37" s="190"/>
      <c r="I37" s="190"/>
      <c r="J37" s="190"/>
      <c r="K37" s="190"/>
      <c r="L37" s="190"/>
    </row>
    <row r="38" spans="1:12" ht="14.1" customHeight="1">
      <c r="A38" s="190" t="s">
        <v>661</v>
      </c>
      <c r="B38" s="218">
        <f>L34</f>
        <v>4381905243.5901165</v>
      </c>
      <c r="C38" s="186" t="s">
        <v>643</v>
      </c>
      <c r="D38" s="190"/>
      <c r="E38" s="190"/>
      <c r="F38" s="190"/>
      <c r="G38" s="190"/>
      <c r="H38" s="190"/>
      <c r="I38" s="190"/>
      <c r="J38" s="190"/>
      <c r="K38" s="190"/>
      <c r="L38" s="190"/>
    </row>
    <row r="39" spans="1:12" ht="14.1" customHeight="1">
      <c r="A39" s="203" t="s">
        <v>662</v>
      </c>
      <c r="B39" s="221">
        <f>B37+B38</f>
        <v>3706076990.3212147</v>
      </c>
      <c r="C39" s="226" t="s">
        <v>643</v>
      </c>
      <c r="D39" s="190"/>
      <c r="E39" s="190"/>
      <c r="F39" s="190"/>
      <c r="G39" s="190"/>
      <c r="H39" s="190"/>
      <c r="I39" s="190"/>
      <c r="J39" s="190"/>
      <c r="K39" s="190"/>
      <c r="L39" s="190"/>
    </row>
    <row r="40" spans="1:12" ht="14.1" customHeight="1">
      <c r="A40" s="190" t="s">
        <v>1634</v>
      </c>
      <c r="B40" s="219">
        <f>-(B9-CF!F66)</f>
        <v>-2863108324.6020012</v>
      </c>
      <c r="C40" s="186" t="s">
        <v>643</v>
      </c>
      <c r="D40" s="190"/>
      <c r="E40" s="190"/>
      <c r="F40" s="190"/>
      <c r="G40" s="190"/>
      <c r="H40" s="190"/>
      <c r="I40" s="190"/>
      <c r="J40" s="190"/>
      <c r="K40" s="190"/>
      <c r="L40" s="190"/>
    </row>
    <row r="41" spans="1:12" ht="14.1" customHeight="1" thickBot="1">
      <c r="A41" s="216" t="s">
        <v>664</v>
      </c>
      <c r="B41" s="223">
        <f>B39+B40</f>
        <v>842968665.71921349</v>
      </c>
      <c r="C41" s="227" t="s">
        <v>643</v>
      </c>
      <c r="D41" s="190"/>
      <c r="E41" s="190"/>
      <c r="F41" s="190"/>
      <c r="G41" s="190"/>
      <c r="H41" s="190"/>
      <c r="I41" s="190"/>
      <c r="J41" s="190"/>
      <c r="K41" s="190"/>
      <c r="L41" s="190"/>
    </row>
    <row r="42" spans="1:12" ht="14.1" customHeight="1" thickTop="1">
      <c r="A42" s="190"/>
      <c r="B42" s="190"/>
      <c r="C42" s="190"/>
      <c r="D42" s="190"/>
      <c r="E42" s="190"/>
      <c r="F42" s="190"/>
      <c r="G42" s="190"/>
      <c r="H42" s="190"/>
      <c r="I42" s="190"/>
      <c r="J42" s="190"/>
      <c r="K42" s="190"/>
      <c r="L42" s="190"/>
    </row>
    <row r="43" spans="1:12" ht="14.1" customHeight="1">
      <c r="A43" s="190" t="s">
        <v>665</v>
      </c>
      <c r="B43" s="224">
        <f>B41/B8</f>
        <v>1.0380782219369695</v>
      </c>
      <c r="C43" s="186" t="s">
        <v>666</v>
      </c>
      <c r="D43" s="190"/>
      <c r="E43" s="190"/>
      <c r="F43" s="190"/>
      <c r="G43" s="190"/>
      <c r="H43" s="190"/>
      <c r="I43" s="190"/>
      <c r="J43" s="190"/>
      <c r="K43" s="190"/>
      <c r="L43" s="190"/>
    </row>
    <row r="44" spans="1:12" ht="14.1" customHeight="1">
      <c r="A44" s="190"/>
      <c r="B44" s="190"/>
      <c r="C44" s="190"/>
      <c r="D44" s="190"/>
      <c r="E44" s="190"/>
      <c r="F44" s="190"/>
      <c r="G44" s="190"/>
      <c r="H44" s="190"/>
      <c r="I44" s="190"/>
      <c r="J44" s="190"/>
      <c r="K44" s="190"/>
      <c r="L44" s="190"/>
    </row>
    <row r="45" spans="1:12" ht="14.1" customHeight="1">
      <c r="A45" s="190"/>
      <c r="B45" s="190"/>
      <c r="C45" s="190"/>
      <c r="D45" s="190"/>
      <c r="E45" s="190"/>
      <c r="F45" s="190"/>
      <c r="G45" s="190"/>
      <c r="H45" s="190"/>
      <c r="I45" s="190"/>
      <c r="J45" s="190"/>
      <c r="K45" s="190"/>
      <c r="L45" s="190"/>
    </row>
    <row r="46" spans="1:12" ht="14.1" customHeight="1">
      <c r="A46" s="189" t="s">
        <v>740</v>
      </c>
      <c r="B46" s="189"/>
      <c r="C46" s="189"/>
      <c r="D46" s="189"/>
      <c r="E46" s="189"/>
      <c r="F46" s="189"/>
      <c r="G46" s="189"/>
      <c r="H46" s="189"/>
      <c r="I46" s="189"/>
      <c r="J46" s="189"/>
      <c r="K46" s="189"/>
      <c r="L46" s="189"/>
    </row>
    <row r="47" spans="1:12" ht="14.1" customHeight="1">
      <c r="A47" s="190"/>
      <c r="B47" s="190"/>
      <c r="C47" s="190"/>
      <c r="D47" s="190"/>
      <c r="E47" s="190"/>
      <c r="F47" s="190"/>
      <c r="G47" s="190"/>
      <c r="H47" s="190"/>
      <c r="I47" s="190"/>
      <c r="J47" s="190"/>
      <c r="K47" s="190"/>
      <c r="L47" s="190"/>
    </row>
    <row r="48" spans="1:12" ht="14.1" customHeight="1">
      <c r="A48" s="191" t="s">
        <v>741</v>
      </c>
      <c r="B48" s="190"/>
      <c r="C48" s="190"/>
      <c r="D48" s="190"/>
      <c r="E48" s="190"/>
      <c r="F48" s="190"/>
      <c r="G48" s="190"/>
      <c r="H48" s="190"/>
      <c r="I48" s="190"/>
      <c r="J48" s="190"/>
      <c r="K48" s="190"/>
      <c r="L48" s="190"/>
    </row>
    <row r="49" spans="1:12" ht="14.1" customHeight="1">
      <c r="A49" s="190" t="s">
        <v>1561</v>
      </c>
      <c r="B49" s="219">
        <f>K18</f>
        <v>679787896.40759957</v>
      </c>
      <c r="C49" s="186" t="s">
        <v>643</v>
      </c>
      <c r="D49" s="190"/>
      <c r="E49" s="190"/>
      <c r="F49" s="190"/>
      <c r="G49" s="190"/>
      <c r="H49" s="190"/>
      <c r="I49" s="190"/>
      <c r="J49" s="190"/>
      <c r="K49" s="190"/>
      <c r="L49" s="190"/>
    </row>
    <row r="50" spans="1:12" ht="14.1" customHeight="1">
      <c r="A50" s="190" t="s">
        <v>742</v>
      </c>
      <c r="B50" s="210">
        <f>Assumptions!B95</f>
        <v>14</v>
      </c>
      <c r="C50" s="186" t="s">
        <v>743</v>
      </c>
      <c r="D50" s="190"/>
      <c r="E50" s="190"/>
      <c r="F50" s="190"/>
      <c r="G50" s="190"/>
      <c r="H50" s="190"/>
      <c r="I50" s="190"/>
      <c r="J50" s="190"/>
      <c r="K50" s="190"/>
      <c r="L50" s="190"/>
    </row>
    <row r="51" spans="1:12" ht="14.1" customHeight="1">
      <c r="A51" s="215" t="s">
        <v>744</v>
      </c>
      <c r="B51" s="220">
        <f>B49*B50</f>
        <v>9517030549.7063942</v>
      </c>
      <c r="C51" s="228" t="s">
        <v>643</v>
      </c>
      <c r="D51" s="190"/>
      <c r="E51" s="190"/>
      <c r="F51" s="190"/>
      <c r="G51" s="190"/>
      <c r="H51" s="190"/>
      <c r="I51" s="190"/>
      <c r="J51" s="190"/>
      <c r="K51" s="190"/>
      <c r="L51" s="190"/>
    </row>
    <row r="52" spans="1:12" ht="14.1" customHeight="1">
      <c r="A52" s="190" t="s">
        <v>745</v>
      </c>
      <c r="B52" s="218">
        <v>0</v>
      </c>
      <c r="C52" s="186" t="s">
        <v>643</v>
      </c>
      <c r="D52" s="190" t="s">
        <v>746</v>
      </c>
      <c r="E52" s="190"/>
      <c r="F52" s="190"/>
      <c r="G52" s="190"/>
      <c r="H52" s="190"/>
      <c r="I52" s="190"/>
      <c r="J52" s="190"/>
      <c r="K52" s="190"/>
      <c r="L52" s="190"/>
    </row>
    <row r="53" spans="1:12" ht="14.1" customHeight="1">
      <c r="A53" s="203" t="s">
        <v>747</v>
      </c>
      <c r="B53" s="221">
        <f>B51-B52</f>
        <v>9517030549.7063942</v>
      </c>
      <c r="C53" s="226" t="s">
        <v>643</v>
      </c>
      <c r="D53" s="190"/>
      <c r="E53" s="190"/>
      <c r="F53" s="190"/>
      <c r="G53" s="190"/>
      <c r="H53" s="190"/>
      <c r="I53" s="190"/>
      <c r="J53" s="190"/>
      <c r="K53" s="190"/>
      <c r="L53" s="190"/>
    </row>
    <row r="54" spans="1:12" ht="14.1" customHeight="1">
      <c r="A54" s="190"/>
      <c r="B54" s="190"/>
      <c r="C54" s="190"/>
      <c r="D54" s="190"/>
      <c r="E54" s="190"/>
      <c r="F54" s="190"/>
      <c r="G54" s="190"/>
      <c r="H54" s="190"/>
      <c r="I54" s="190"/>
      <c r="J54" s="190"/>
      <c r="K54" s="190"/>
      <c r="L54" s="190"/>
    </row>
    <row r="55" spans="1:12" ht="14.1" customHeight="1">
      <c r="A55" s="191" t="s">
        <v>748</v>
      </c>
      <c r="B55" s="190"/>
      <c r="C55" s="190"/>
      <c r="D55" s="190"/>
      <c r="E55" s="190"/>
      <c r="F55" s="190"/>
      <c r="G55" s="190"/>
      <c r="H55" s="190"/>
      <c r="I55" s="190"/>
      <c r="J55" s="190"/>
      <c r="K55" s="190"/>
      <c r="L55" s="190"/>
    </row>
    <row r="56" spans="1:12" ht="14.1" customHeight="1">
      <c r="A56" s="190" t="s">
        <v>749</v>
      </c>
      <c r="B56" s="218">
        <f>K30</f>
        <v>520997178.5832352</v>
      </c>
      <c r="C56" s="186" t="s">
        <v>643</v>
      </c>
      <c r="D56" s="190"/>
      <c r="E56" s="190"/>
      <c r="F56" s="190"/>
      <c r="G56" s="190"/>
      <c r="H56" s="190"/>
      <c r="I56" s="190"/>
      <c r="J56" s="190"/>
      <c r="K56" s="190"/>
      <c r="L56" s="190"/>
    </row>
    <row r="57" spans="1:12" ht="14.1" customHeight="1">
      <c r="A57" s="190" t="s">
        <v>640</v>
      </c>
      <c r="B57" s="225">
        <f>B6</f>
        <v>0.02</v>
      </c>
      <c r="C57" s="186" t="s">
        <v>750</v>
      </c>
      <c r="D57" s="190"/>
      <c r="E57" s="190"/>
      <c r="F57" s="190"/>
      <c r="G57" s="190"/>
      <c r="H57" s="190"/>
      <c r="I57" s="190"/>
      <c r="J57" s="190"/>
      <c r="K57" s="190"/>
      <c r="L57" s="190"/>
    </row>
    <row r="58" spans="1:12" ht="14.1" customHeight="1">
      <c r="A58" s="190" t="s">
        <v>638</v>
      </c>
      <c r="B58" s="225">
        <f>B5</f>
        <v>0.09</v>
      </c>
      <c r="C58" s="190"/>
      <c r="D58" s="190"/>
      <c r="E58" s="190"/>
      <c r="F58" s="190"/>
      <c r="G58" s="190"/>
      <c r="H58" s="190"/>
      <c r="I58" s="190"/>
      <c r="J58" s="190"/>
      <c r="K58" s="190"/>
      <c r="L58" s="190"/>
    </row>
    <row r="59" spans="1:12" ht="14.1" customHeight="1">
      <c r="A59" s="203" t="s">
        <v>751</v>
      </c>
      <c r="B59" s="221">
        <f>B56*(1+B57)/(B58-B57)</f>
        <v>7591673173.641428</v>
      </c>
      <c r="C59" s="226" t="s">
        <v>643</v>
      </c>
      <c r="D59" s="190"/>
      <c r="E59" s="190"/>
      <c r="F59" s="190"/>
      <c r="G59" s="190"/>
      <c r="H59" s="190"/>
      <c r="I59" s="190"/>
      <c r="J59" s="190"/>
      <c r="K59" s="190"/>
      <c r="L59" s="190"/>
    </row>
    <row r="60" spans="1:12" ht="14.1" customHeight="1">
      <c r="A60" s="190"/>
      <c r="B60" s="190"/>
      <c r="C60" s="190"/>
      <c r="D60" s="190"/>
      <c r="E60" s="190"/>
      <c r="F60" s="190"/>
      <c r="G60" s="190"/>
      <c r="H60" s="190"/>
      <c r="I60" s="190"/>
      <c r="J60" s="190"/>
      <c r="K60" s="190"/>
      <c r="L60" s="190"/>
    </row>
    <row r="61" spans="1:12" ht="14.1" customHeight="1">
      <c r="A61" s="189" t="s">
        <v>752</v>
      </c>
      <c r="B61" s="189"/>
      <c r="C61" s="189"/>
      <c r="D61" s="189"/>
      <c r="E61" s="189"/>
      <c r="F61" s="189"/>
      <c r="G61" s="189"/>
      <c r="H61" s="189"/>
      <c r="I61" s="189"/>
      <c r="J61" s="189"/>
      <c r="K61" s="189"/>
      <c r="L61" s="189"/>
    </row>
    <row r="62" spans="1:12" ht="14.1" customHeight="1">
      <c r="A62" s="190" t="s">
        <v>753</v>
      </c>
      <c r="B62" s="190" t="s">
        <v>754</v>
      </c>
      <c r="C62" s="186" t="s">
        <v>755</v>
      </c>
      <c r="D62" s="190"/>
      <c r="E62" s="190"/>
      <c r="F62" s="190"/>
      <c r="G62" s="190"/>
      <c r="H62" s="190"/>
      <c r="I62" s="190"/>
      <c r="J62" s="190"/>
      <c r="K62" s="190"/>
      <c r="L62" s="190"/>
    </row>
    <row r="63" spans="1:12" ht="14.1" customHeight="1" thickBot="1">
      <c r="A63" s="216" t="s">
        <v>756</v>
      </c>
      <c r="B63" s="223">
        <f>B53</f>
        <v>9517030549.7063942</v>
      </c>
      <c r="C63" s="227" t="s">
        <v>643</v>
      </c>
      <c r="D63" s="190"/>
      <c r="E63" s="190"/>
      <c r="F63" s="190"/>
      <c r="G63" s="190"/>
      <c r="H63" s="190"/>
      <c r="I63" s="190"/>
      <c r="J63" s="190"/>
      <c r="K63" s="190"/>
      <c r="L63" s="190"/>
    </row>
    <row r="64" spans="1:12" ht="15" thickTop="1"/>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49BF0-4CD0-402C-A505-DD9A94E26762}">
  <sheetPr>
    <tabColor theme="4" tint="0.499984740745262"/>
  </sheetPr>
  <dimension ref="A1:K40"/>
  <sheetViews>
    <sheetView zoomScale="130" zoomScaleNormal="130" workbookViewId="0">
      <selection activeCell="B5" sqref="B5"/>
    </sheetView>
  </sheetViews>
  <sheetFormatPr defaultRowHeight="14.25"/>
  <cols>
    <col min="1" max="1" width="33.375" customWidth="1"/>
    <col min="2" max="11" width="15.875" customWidth="1"/>
  </cols>
  <sheetData>
    <row r="1" spans="1:11" ht="18" customHeight="1">
      <c r="A1" s="182" t="s">
        <v>667</v>
      </c>
      <c r="B1" s="182"/>
      <c r="C1" s="182"/>
      <c r="D1" s="182"/>
      <c r="E1" s="182"/>
      <c r="F1" s="182"/>
      <c r="G1" s="182"/>
      <c r="H1" s="182"/>
      <c r="I1" s="182"/>
      <c r="J1" s="182"/>
      <c r="K1" s="182"/>
    </row>
    <row r="2" spans="1:11" ht="14.1" customHeight="1">
      <c r="A2" s="186" t="s">
        <v>1803</v>
      </c>
      <c r="B2" s="190"/>
      <c r="C2" s="190"/>
      <c r="D2" s="190"/>
      <c r="E2" s="190"/>
      <c r="F2" s="190"/>
      <c r="G2" s="190"/>
      <c r="H2" s="190"/>
      <c r="I2" s="190"/>
      <c r="J2" s="190"/>
      <c r="K2" s="190"/>
    </row>
    <row r="3" spans="1:11" ht="14.1" customHeight="1">
      <c r="A3" s="189" t="s">
        <v>668</v>
      </c>
      <c r="B3" s="189"/>
      <c r="C3" s="189"/>
      <c r="D3" s="189"/>
      <c r="E3" s="189"/>
      <c r="F3" s="189"/>
      <c r="G3" s="189"/>
      <c r="H3" s="189"/>
      <c r="I3" s="189"/>
      <c r="J3" s="189"/>
      <c r="K3" s="189"/>
    </row>
    <row r="4" spans="1:11" ht="14.1" customHeight="1">
      <c r="A4" s="190" t="s">
        <v>645</v>
      </c>
      <c r="B4" s="219">
        <f>Assumptions!B74</f>
        <v>3884047346.6308756</v>
      </c>
      <c r="C4" s="192" t="s">
        <v>643</v>
      </c>
      <c r="D4" s="190"/>
      <c r="E4" s="190"/>
      <c r="F4" s="190"/>
      <c r="G4" s="190"/>
      <c r="H4" s="190"/>
      <c r="I4" s="190"/>
      <c r="J4" s="190"/>
      <c r="K4" s="190"/>
    </row>
    <row r="5" spans="1:11" ht="14.1" customHeight="1">
      <c r="A5" s="190" t="s">
        <v>669</v>
      </c>
      <c r="B5" s="219">
        <f>Assumptions!B73</f>
        <v>812047346.63087571</v>
      </c>
      <c r="C5" s="192" t="s">
        <v>643</v>
      </c>
      <c r="D5" s="190"/>
      <c r="E5" s="190"/>
      <c r="F5" s="190"/>
      <c r="G5" s="190"/>
      <c r="H5" s="190"/>
      <c r="I5" s="190"/>
      <c r="J5" s="190"/>
      <c r="K5" s="190"/>
    </row>
    <row r="6" spans="1:11" ht="14.1" customHeight="1">
      <c r="A6" s="190" t="s">
        <v>670</v>
      </c>
      <c r="B6" s="219">
        <f>Assumptions!B72</f>
        <v>3072000000</v>
      </c>
      <c r="C6" s="192" t="s">
        <v>643</v>
      </c>
      <c r="D6" s="190"/>
      <c r="E6" s="190"/>
      <c r="F6" s="190"/>
      <c r="G6" s="190"/>
      <c r="H6" s="190"/>
      <c r="I6" s="190"/>
      <c r="J6" s="190"/>
      <c r="K6" s="190"/>
    </row>
    <row r="7" spans="1:11" ht="14.1" customHeight="1">
      <c r="A7" s="190" t="s">
        <v>671</v>
      </c>
      <c r="B7" s="225">
        <f>B6/B4</f>
        <v>0.79092753662355153</v>
      </c>
      <c r="C7" s="190"/>
      <c r="D7" s="190"/>
      <c r="E7" s="190"/>
      <c r="F7" s="190"/>
      <c r="G7" s="190"/>
      <c r="H7" s="190"/>
      <c r="I7" s="190"/>
      <c r="J7" s="190"/>
      <c r="K7" s="190"/>
    </row>
    <row r="8" spans="1:11" ht="14.1" customHeight="1">
      <c r="A8" s="190" t="s">
        <v>641</v>
      </c>
      <c r="B8" s="217">
        <f>Assumptions!B76</f>
        <v>0.06</v>
      </c>
      <c r="C8" s="190"/>
      <c r="D8" s="190"/>
      <c r="E8" s="190"/>
      <c r="F8" s="190"/>
      <c r="G8" s="190"/>
      <c r="H8" s="190"/>
      <c r="I8" s="190"/>
      <c r="J8" s="190"/>
      <c r="K8" s="190"/>
    </row>
    <row r="9" spans="1:11" ht="14.1" customHeight="1">
      <c r="A9" s="190"/>
      <c r="B9" s="190"/>
      <c r="C9" s="190"/>
      <c r="D9" s="190"/>
      <c r="E9" s="190"/>
      <c r="F9" s="190"/>
      <c r="G9" s="190"/>
      <c r="H9" s="190"/>
      <c r="I9" s="190"/>
      <c r="J9" s="190"/>
      <c r="K9" s="190"/>
    </row>
    <row r="10" spans="1:11" ht="14.1" customHeight="1">
      <c r="A10" s="189" t="s">
        <v>672</v>
      </c>
      <c r="B10" s="189"/>
      <c r="C10" s="189"/>
      <c r="D10" s="189"/>
      <c r="E10" s="189"/>
      <c r="F10" s="189"/>
      <c r="G10" s="189"/>
      <c r="H10" s="189"/>
      <c r="I10" s="189"/>
      <c r="J10" s="189"/>
      <c r="K10" s="189"/>
    </row>
    <row r="11" spans="1:11" ht="14.1" customHeight="1">
      <c r="A11" s="189" t="s">
        <v>576</v>
      </c>
      <c r="B11" s="214">
        <v>0</v>
      </c>
      <c r="C11" s="214">
        <v>1</v>
      </c>
      <c r="D11" s="214">
        <v>2</v>
      </c>
      <c r="E11" s="214">
        <v>3</v>
      </c>
      <c r="F11" s="214">
        <v>4</v>
      </c>
      <c r="G11" s="214">
        <v>5</v>
      </c>
      <c r="H11" s="214">
        <v>6</v>
      </c>
      <c r="I11" s="214">
        <v>7</v>
      </c>
      <c r="J11" s="214">
        <v>8</v>
      </c>
      <c r="K11" s="214">
        <v>9</v>
      </c>
    </row>
    <row r="12" spans="1:11" ht="14.1" customHeight="1">
      <c r="A12" s="212" t="s">
        <v>648</v>
      </c>
      <c r="B12" s="214">
        <v>2026</v>
      </c>
      <c r="C12" s="214">
        <v>2027</v>
      </c>
      <c r="D12" s="214">
        <v>2028</v>
      </c>
      <c r="E12" s="214">
        <v>2029</v>
      </c>
      <c r="F12" s="214">
        <v>2030</v>
      </c>
      <c r="G12" s="214">
        <v>2031</v>
      </c>
      <c r="H12" s="214">
        <v>2032</v>
      </c>
      <c r="I12" s="214">
        <v>2033</v>
      </c>
      <c r="J12" s="214">
        <v>2034</v>
      </c>
      <c r="K12" s="214">
        <v>2035</v>
      </c>
    </row>
    <row r="13" spans="1:11" ht="14.1" customHeight="1">
      <c r="A13" s="190" t="s">
        <v>655</v>
      </c>
      <c r="B13" s="219">
        <f>'DCF Analysis'!B30</f>
        <v>-3675209671.2328768</v>
      </c>
      <c r="C13" s="219">
        <f>'DCF Analysis'!C30</f>
        <v>517066209.4246574</v>
      </c>
      <c r="D13" s="219">
        <f>'DCF Analysis'!D30</f>
        <v>538584900.51371241</v>
      </c>
      <c r="E13" s="219">
        <f>'DCF Analysis'!E30</f>
        <v>570890345.56026173</v>
      </c>
      <c r="F13" s="219">
        <f>'DCF Analysis'!F30</f>
        <v>362293288.37639403</v>
      </c>
      <c r="G13" s="219">
        <f>'DCF Analysis'!G30</f>
        <v>161974052.01675573</v>
      </c>
      <c r="H13" s="219">
        <f>'DCF Analysis'!H30</f>
        <v>568510536.50682569</v>
      </c>
      <c r="I13" s="219">
        <f>'DCF Analysis'!I30</f>
        <v>542848149.43901205</v>
      </c>
      <c r="J13" s="219">
        <f>'DCF Analysis'!J30</f>
        <v>531243869.13541549</v>
      </c>
      <c r="K13" s="219">
        <f>'DCF Analysis'!K30+'DCF Analysis'!B63</f>
        <v>10038027728.289629</v>
      </c>
    </row>
    <row r="14" spans="1:11" ht="14.1" customHeight="1">
      <c r="A14" s="203" t="s">
        <v>673</v>
      </c>
      <c r="B14" s="221">
        <f>B13</f>
        <v>-3675209671.2328768</v>
      </c>
      <c r="C14" s="221">
        <f>B14+C13</f>
        <v>-3158143461.8082194</v>
      </c>
      <c r="D14" s="221">
        <f>C14+D13</f>
        <v>-2619558561.294507</v>
      </c>
      <c r="E14" s="221">
        <f>D14+E13</f>
        <v>-2048668215.7342453</v>
      </c>
      <c r="F14" s="221">
        <f>E14+F13</f>
        <v>-1686374927.3578513</v>
      </c>
      <c r="G14" s="221">
        <f>F14+G13</f>
        <v>-1524400875.3410954</v>
      </c>
      <c r="H14" s="221">
        <f>G14+H13</f>
        <v>-955890338.83426976</v>
      </c>
      <c r="I14" s="221">
        <f>H14+I13</f>
        <v>-413042189.39525771</v>
      </c>
      <c r="J14" s="221">
        <f>I14+J13</f>
        <v>118201679.74015778</v>
      </c>
      <c r="K14" s="221">
        <f>J14+K13</f>
        <v>10156229408.029787</v>
      </c>
    </row>
    <row r="15" spans="1:11" ht="14.1" customHeight="1">
      <c r="A15" s="190"/>
      <c r="B15" s="190"/>
      <c r="C15" s="190"/>
      <c r="D15" s="190"/>
      <c r="E15" s="190"/>
      <c r="F15" s="190"/>
      <c r="G15" s="190"/>
      <c r="H15" s="190"/>
      <c r="I15" s="190"/>
      <c r="J15" s="190"/>
      <c r="K15" s="190"/>
    </row>
    <row r="16" spans="1:11" ht="14.1" customHeight="1" thickBot="1">
      <c r="A16" s="191" t="s">
        <v>674</v>
      </c>
      <c r="B16" s="230">
        <f>IRR(B13:K13)</f>
        <v>0.20568046078310709</v>
      </c>
      <c r="C16" s="227" t="s">
        <v>675</v>
      </c>
      <c r="D16" s="191"/>
      <c r="E16" s="191"/>
      <c r="F16" s="191"/>
      <c r="G16" s="191"/>
      <c r="H16" s="191"/>
      <c r="I16" s="191"/>
      <c r="J16" s="191"/>
      <c r="K16" s="191"/>
    </row>
    <row r="17" spans="1:11" ht="14.1" customHeight="1" thickTop="1">
      <c r="A17" s="190"/>
      <c r="B17" s="190"/>
      <c r="C17" s="190"/>
      <c r="D17" s="190"/>
      <c r="E17" s="190"/>
      <c r="F17" s="190"/>
      <c r="G17" s="190"/>
      <c r="H17" s="190"/>
      <c r="I17" s="190"/>
      <c r="J17" s="190"/>
      <c r="K17" s="190"/>
    </row>
    <row r="18" spans="1:11" ht="14.1" customHeight="1">
      <c r="A18" s="189" t="s">
        <v>676</v>
      </c>
      <c r="B18" s="189"/>
      <c r="C18" s="189"/>
      <c r="D18" s="189"/>
      <c r="E18" s="189"/>
      <c r="F18" s="189"/>
      <c r="G18" s="189"/>
      <c r="H18" s="189"/>
      <c r="I18" s="189"/>
      <c r="J18" s="189"/>
      <c r="K18" s="189"/>
    </row>
    <row r="19" spans="1:11" ht="14.1" customHeight="1">
      <c r="A19" s="189" t="s">
        <v>576</v>
      </c>
      <c r="B19" s="214">
        <v>0</v>
      </c>
      <c r="C19" s="214">
        <v>1</v>
      </c>
      <c r="D19" s="214">
        <v>2</v>
      </c>
      <c r="E19" s="214">
        <v>3</v>
      </c>
      <c r="F19" s="214">
        <v>4</v>
      </c>
      <c r="G19" s="214">
        <v>5</v>
      </c>
      <c r="H19" s="214">
        <v>6</v>
      </c>
      <c r="I19" s="214">
        <v>7</v>
      </c>
      <c r="J19" s="214">
        <v>8</v>
      </c>
      <c r="K19" s="214">
        <v>9</v>
      </c>
    </row>
    <row r="20" spans="1:11" ht="14.1" customHeight="1">
      <c r="A20" s="212" t="s">
        <v>648</v>
      </c>
      <c r="B20" s="214">
        <v>2026</v>
      </c>
      <c r="C20" s="214">
        <v>2027</v>
      </c>
      <c r="D20" s="214">
        <v>2028</v>
      </c>
      <c r="E20" s="214">
        <v>2029</v>
      </c>
      <c r="F20" s="214">
        <v>2030</v>
      </c>
      <c r="G20" s="214">
        <v>2031</v>
      </c>
      <c r="H20" s="214">
        <v>2032</v>
      </c>
      <c r="I20" s="214">
        <v>2033</v>
      </c>
      <c r="J20" s="214">
        <v>2034</v>
      </c>
      <c r="K20" s="214">
        <v>2035</v>
      </c>
    </row>
    <row r="21" spans="1:11" ht="14.1" customHeight="1">
      <c r="A21" s="190" t="s">
        <v>655</v>
      </c>
      <c r="B21" s="218">
        <f t="shared" ref="B21:G21" si="0">B13</f>
        <v>-3675209671.2328768</v>
      </c>
      <c r="C21" s="218">
        <f t="shared" si="0"/>
        <v>517066209.4246574</v>
      </c>
      <c r="D21" s="218">
        <f t="shared" si="0"/>
        <v>538584900.51371241</v>
      </c>
      <c r="E21" s="218">
        <f t="shared" si="0"/>
        <v>570890345.56026173</v>
      </c>
      <c r="F21" s="218">
        <f t="shared" si="0"/>
        <v>362293288.37639403</v>
      </c>
      <c r="G21" s="218">
        <f t="shared" si="0"/>
        <v>161974052.01675573</v>
      </c>
      <c r="H21" s="218">
        <f>H13</f>
        <v>568510536.50682569</v>
      </c>
      <c r="I21" s="218">
        <f>I13</f>
        <v>542848149.43901205</v>
      </c>
      <c r="J21" s="218">
        <f>J13</f>
        <v>531243869.13541549</v>
      </c>
      <c r="K21" s="218">
        <f>K13</f>
        <v>10038027728.289629</v>
      </c>
    </row>
    <row r="22" spans="1:11" ht="14.1" customHeight="1">
      <c r="A22" s="190" t="s">
        <v>677</v>
      </c>
      <c r="B22" s="218">
        <f>B6</f>
        <v>3072000000</v>
      </c>
      <c r="C22" s="218">
        <v>0</v>
      </c>
      <c r="D22" s="218">
        <v>0</v>
      </c>
      <c r="E22" s="218">
        <v>0</v>
      </c>
      <c r="F22" s="218">
        <v>0</v>
      </c>
      <c r="G22" s="218">
        <v>0</v>
      </c>
      <c r="H22" s="218">
        <v>0</v>
      </c>
      <c r="I22" s="218">
        <v>0</v>
      </c>
      <c r="J22" s="218">
        <v>0</v>
      </c>
      <c r="K22" s="218">
        <v>0</v>
      </c>
    </row>
    <row r="23" spans="1:11" ht="14.1" customHeight="1">
      <c r="A23" s="190" t="s">
        <v>678</v>
      </c>
      <c r="B23" s="218">
        <v>0</v>
      </c>
      <c r="C23" s="219">
        <f>-Assumptions!B78</f>
        <v>-341333333.33333331</v>
      </c>
      <c r="D23" s="219">
        <f>-Assumptions!B78</f>
        <v>-341333333.33333331</v>
      </c>
      <c r="E23" s="219">
        <f>-Assumptions!B78</f>
        <v>-341333333.33333331</v>
      </c>
      <c r="F23" s="219">
        <f>-Assumptions!B78</f>
        <v>-341333333.33333331</v>
      </c>
      <c r="G23" s="219">
        <f>-Assumptions!B78</f>
        <v>-341333333.33333331</v>
      </c>
      <c r="H23" s="219">
        <f>-Assumptions!B78</f>
        <v>-341333333.33333331</v>
      </c>
      <c r="I23" s="219">
        <f>-Assumptions!B78</f>
        <v>-341333333.33333331</v>
      </c>
      <c r="J23" s="219">
        <f>-Assumptions!B78</f>
        <v>-341333333.33333331</v>
      </c>
      <c r="K23" s="219">
        <f>-Assumptions!B78</f>
        <v>-341333333.33333331</v>
      </c>
    </row>
    <row r="24" spans="1:11" ht="14.1" customHeight="1">
      <c r="A24" s="190" t="s">
        <v>679</v>
      </c>
      <c r="B24" s="218">
        <v>0</v>
      </c>
      <c r="C24" s="219">
        <f>-'P&amp;L'!G53</f>
        <v>-184320000</v>
      </c>
      <c r="D24" s="219">
        <f>-'P&amp;L'!H53</f>
        <v>-163839999.99999997</v>
      </c>
      <c r="E24" s="219">
        <f>-'P&amp;L'!I53</f>
        <v>-143359999.99999997</v>
      </c>
      <c r="F24" s="219">
        <f>-'P&amp;L'!J53</f>
        <v>-122879999.99999999</v>
      </c>
      <c r="G24" s="219">
        <f>-'P&amp;L'!K53</f>
        <v>-102399999.99999999</v>
      </c>
      <c r="H24" s="219">
        <f>-'P&amp;L'!L53</f>
        <v>-81919999.999999985</v>
      </c>
      <c r="I24" s="219">
        <f>-'P&amp;L'!M53</f>
        <v>-61440000</v>
      </c>
      <c r="J24" s="219">
        <f>-'P&amp;L'!N53</f>
        <v>-40960000</v>
      </c>
      <c r="K24" s="219">
        <f>-'P&amp;L'!O53</f>
        <v>-20480000.000000004</v>
      </c>
    </row>
    <row r="25" spans="1:11" ht="14.1" customHeight="1">
      <c r="A25" s="190" t="s">
        <v>680</v>
      </c>
      <c r="B25" s="218">
        <f>-B24*Assumptions!$B$80</f>
        <v>0</v>
      </c>
      <c r="C25" s="218">
        <f>-C24*Assumptions!$B$80</f>
        <v>35020800</v>
      </c>
      <c r="D25" s="218">
        <f>-D24*Assumptions!$B$80</f>
        <v>31129599.999999996</v>
      </c>
      <c r="E25" s="218">
        <f>-E24*Assumptions!$B$80</f>
        <v>27238399.999999996</v>
      </c>
      <c r="F25" s="218">
        <f>-F24*Assumptions!$B$80</f>
        <v>23347199.999999996</v>
      </c>
      <c r="G25" s="218">
        <f>-G24*Assumptions!$B$80</f>
        <v>19455999.999999996</v>
      </c>
      <c r="H25" s="218">
        <f>-H24*Assumptions!$B$80</f>
        <v>15564799.999999998</v>
      </c>
      <c r="I25" s="218">
        <f>-I24*Assumptions!$B$80</f>
        <v>11673600</v>
      </c>
      <c r="J25" s="218">
        <f>-J24*Assumptions!$B$80</f>
        <v>7782400</v>
      </c>
      <c r="K25" s="218">
        <f>-K24*Assumptions!$B$80</f>
        <v>3891200.0000000009</v>
      </c>
    </row>
    <row r="26" spans="1:11" ht="14.1" customHeight="1">
      <c r="A26" s="191" t="s">
        <v>681</v>
      </c>
      <c r="B26" s="231">
        <f t="shared" ref="B26:G26" si="1">SUM(B21:B25)</f>
        <v>-603209671.23287678</v>
      </c>
      <c r="C26" s="231">
        <f t="shared" si="1"/>
        <v>26433676.091324091</v>
      </c>
      <c r="D26" s="231">
        <f t="shared" si="1"/>
        <v>64541167.180379122</v>
      </c>
      <c r="E26" s="231">
        <f t="shared" si="1"/>
        <v>113435412.22692844</v>
      </c>
      <c r="F26" s="231">
        <f t="shared" si="1"/>
        <v>-78572844.956939265</v>
      </c>
      <c r="G26" s="231">
        <f t="shared" si="1"/>
        <v>-262303281.31657755</v>
      </c>
      <c r="H26" s="231">
        <f>SUM(H21:H25)</f>
        <v>160822003.17349237</v>
      </c>
      <c r="I26" s="231">
        <f>SUM(I21:I25)</f>
        <v>151748416.10567874</v>
      </c>
      <c r="J26" s="231">
        <f>SUM(J21:J25)</f>
        <v>156732935.80208218</v>
      </c>
      <c r="K26" s="231">
        <f>SUM(K21:K25)</f>
        <v>9680105594.956295</v>
      </c>
    </row>
    <row r="27" spans="1:11" ht="14.1" customHeight="1">
      <c r="A27" s="203" t="s">
        <v>682</v>
      </c>
      <c r="B27" s="221">
        <f>B26</f>
        <v>-603209671.23287678</v>
      </c>
      <c r="C27" s="221">
        <f>B27+C26</f>
        <v>-576775995.14155269</v>
      </c>
      <c r="D27" s="221">
        <f>C27+D26</f>
        <v>-512234827.96117353</v>
      </c>
      <c r="E27" s="221">
        <f>D27+E26</f>
        <v>-398799415.73424506</v>
      </c>
      <c r="F27" s="221">
        <f>E27+F26</f>
        <v>-477372260.69118434</v>
      </c>
      <c r="G27" s="221">
        <f>F27+G26</f>
        <v>-739675542.00776196</v>
      </c>
      <c r="H27" s="221">
        <f>G27+H26</f>
        <v>-578853538.83426952</v>
      </c>
      <c r="I27" s="221">
        <f>H27+I26</f>
        <v>-427105122.72859079</v>
      </c>
      <c r="J27" s="221">
        <f>I27+J26</f>
        <v>-270372186.92650861</v>
      </c>
      <c r="K27" s="221">
        <f>J27+K26</f>
        <v>9409733408.0297871</v>
      </c>
    </row>
    <row r="28" spans="1:11" ht="14.1" customHeight="1">
      <c r="A28" s="190"/>
      <c r="B28" s="190"/>
      <c r="C28" s="190"/>
      <c r="D28" s="190"/>
      <c r="E28" s="190"/>
      <c r="F28" s="190"/>
      <c r="G28" s="190"/>
      <c r="H28" s="190"/>
      <c r="I28" s="190"/>
      <c r="J28" s="190"/>
      <c r="K28" s="190"/>
    </row>
    <row r="29" spans="1:11" ht="14.1" customHeight="1" thickBot="1">
      <c r="A29" s="191" t="s">
        <v>683</v>
      </c>
      <c r="B29" s="230">
        <f>IRR(B26:K26)</f>
        <v>0.38092292466209332</v>
      </c>
      <c r="C29" s="227" t="s">
        <v>684</v>
      </c>
      <c r="D29" s="191"/>
      <c r="E29" s="191"/>
      <c r="F29" s="191"/>
      <c r="G29" s="191"/>
      <c r="H29" s="191"/>
      <c r="I29" s="191"/>
      <c r="J29" s="191"/>
      <c r="K29" s="191"/>
    </row>
    <row r="30" spans="1:11" ht="14.1" customHeight="1" thickTop="1">
      <c r="A30" s="190"/>
      <c r="B30" s="190"/>
      <c r="C30" s="190"/>
      <c r="D30" s="190"/>
      <c r="E30" s="190"/>
      <c r="F30" s="190"/>
      <c r="G30" s="190"/>
      <c r="H30" s="190"/>
      <c r="I30" s="190"/>
      <c r="J30" s="190"/>
      <c r="K30" s="190"/>
    </row>
    <row r="31" spans="1:11" ht="14.1" customHeight="1">
      <c r="A31" s="189" t="s">
        <v>685</v>
      </c>
      <c r="B31" s="189"/>
      <c r="C31" s="189"/>
      <c r="D31" s="189"/>
      <c r="E31" s="189"/>
      <c r="F31" s="189"/>
      <c r="G31" s="189"/>
      <c r="H31" s="189"/>
      <c r="I31" s="189"/>
      <c r="J31" s="189"/>
      <c r="K31" s="189"/>
    </row>
    <row r="32" spans="1:11" ht="14.1" customHeight="1">
      <c r="A32" s="191" t="s">
        <v>686</v>
      </c>
      <c r="B32" s="232">
        <f>B16</f>
        <v>0.20568046078310709</v>
      </c>
      <c r="C32" s="233" t="s">
        <v>687</v>
      </c>
      <c r="D32" s="190"/>
      <c r="E32" s="190"/>
      <c r="F32" s="190"/>
      <c r="G32" s="190"/>
      <c r="H32" s="190"/>
      <c r="I32" s="190"/>
      <c r="J32" s="190"/>
      <c r="K32" s="190"/>
    </row>
    <row r="33" spans="1:11" ht="14.1" customHeight="1">
      <c r="A33" s="191" t="s">
        <v>688</v>
      </c>
      <c r="B33" s="232">
        <f>B29</f>
        <v>0.38092292466209332</v>
      </c>
      <c r="C33" s="233" t="s">
        <v>689</v>
      </c>
      <c r="D33" s="190"/>
      <c r="E33" s="190"/>
      <c r="F33" s="190"/>
      <c r="G33" s="190"/>
      <c r="H33" s="190"/>
      <c r="I33" s="190"/>
      <c r="J33" s="190"/>
      <c r="K33" s="190"/>
    </row>
    <row r="34" spans="1:11" ht="14.1" customHeight="1">
      <c r="A34" s="191" t="s">
        <v>690</v>
      </c>
      <c r="B34" s="232">
        <f>B33-B32</f>
        <v>0.17524246387898623</v>
      </c>
      <c r="C34" s="233" t="s">
        <v>691</v>
      </c>
      <c r="D34" s="190"/>
      <c r="E34" s="190"/>
      <c r="F34" s="190"/>
      <c r="G34" s="190"/>
      <c r="H34" s="190"/>
      <c r="I34" s="190"/>
      <c r="J34" s="190"/>
      <c r="K34" s="190"/>
    </row>
    <row r="35" spans="1:11" ht="14.1" customHeight="1">
      <c r="A35" s="190"/>
      <c r="B35" s="190"/>
      <c r="C35" s="190"/>
      <c r="D35" s="190"/>
      <c r="E35" s="190"/>
      <c r="F35" s="190"/>
      <c r="G35" s="190"/>
      <c r="H35" s="190"/>
      <c r="I35" s="190"/>
      <c r="J35" s="190"/>
      <c r="K35" s="190"/>
    </row>
    <row r="36" spans="1:11" ht="14.1" customHeight="1">
      <c r="A36" s="189" t="s">
        <v>692</v>
      </c>
      <c r="B36" s="189"/>
      <c r="C36" s="189"/>
      <c r="D36" s="189"/>
      <c r="E36" s="189"/>
      <c r="F36" s="189"/>
      <c r="G36" s="189"/>
      <c r="H36" s="189"/>
      <c r="I36" s="189"/>
      <c r="J36" s="189"/>
      <c r="K36" s="189"/>
    </row>
    <row r="37" spans="1:11" ht="14.1" customHeight="1">
      <c r="A37" s="190" t="s">
        <v>693</v>
      </c>
      <c r="B37" s="190"/>
      <c r="C37" s="190"/>
      <c r="D37" s="190"/>
      <c r="E37" s="190"/>
      <c r="F37" s="190"/>
      <c r="G37" s="190"/>
      <c r="H37" s="190"/>
      <c r="I37" s="190"/>
      <c r="J37" s="190"/>
      <c r="K37" s="190"/>
    </row>
    <row r="38" spans="1:11" ht="14.1" customHeight="1">
      <c r="A38" s="190" t="s">
        <v>694</v>
      </c>
      <c r="B38" s="190"/>
      <c r="C38" s="190"/>
      <c r="D38" s="190"/>
      <c r="E38" s="190"/>
      <c r="F38" s="190"/>
      <c r="G38" s="190"/>
      <c r="H38" s="190"/>
      <c r="I38" s="190"/>
      <c r="J38" s="190"/>
      <c r="K38" s="190"/>
    </row>
    <row r="39" spans="1:11" ht="14.1" customHeight="1">
      <c r="A39" s="190" t="s">
        <v>695</v>
      </c>
      <c r="B39" s="190"/>
      <c r="C39" s="190"/>
      <c r="D39" s="190"/>
      <c r="E39" s="190"/>
      <c r="F39" s="190"/>
      <c r="G39" s="190"/>
      <c r="H39" s="190"/>
      <c r="I39" s="190"/>
      <c r="J39" s="190"/>
      <c r="K39" s="190"/>
    </row>
    <row r="40" spans="1:11" ht="14.1" customHeight="1">
      <c r="A40" s="190" t="s">
        <v>696</v>
      </c>
      <c r="B40" s="190"/>
      <c r="C40" s="190"/>
      <c r="D40" s="190"/>
      <c r="E40" s="190"/>
      <c r="F40" s="190"/>
      <c r="G40" s="190"/>
      <c r="H40" s="190"/>
      <c r="I40" s="190"/>
      <c r="J40" s="190"/>
      <c r="K40" s="190"/>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B31C3-23F3-4A00-89E2-23C39AD6E3FE}">
  <sheetPr>
    <tabColor theme="4" tint="0.499984740745262"/>
  </sheetPr>
  <dimension ref="A1:K68"/>
  <sheetViews>
    <sheetView topLeftCell="A36" zoomScale="130" zoomScaleNormal="130" workbookViewId="0">
      <selection activeCell="C41" sqref="C41"/>
    </sheetView>
  </sheetViews>
  <sheetFormatPr defaultRowHeight="14.25"/>
  <cols>
    <col min="1" max="1" width="21.625" customWidth="1"/>
    <col min="2" max="2" width="20" customWidth="1"/>
    <col min="3" max="11" width="15.875" customWidth="1"/>
  </cols>
  <sheetData>
    <row r="1" spans="1:11" ht="18" customHeight="1">
      <c r="A1" s="182" t="s">
        <v>697</v>
      </c>
      <c r="B1" s="182"/>
      <c r="C1" s="182"/>
      <c r="D1" s="182"/>
      <c r="E1" s="182"/>
      <c r="F1" s="182"/>
      <c r="G1" s="182"/>
      <c r="H1" s="182"/>
      <c r="I1" s="182"/>
      <c r="J1" s="182"/>
      <c r="K1" s="182"/>
    </row>
    <row r="2" spans="1:11" ht="14.1" customHeight="1">
      <c r="A2" s="186" t="s">
        <v>1865</v>
      </c>
      <c r="B2" s="190"/>
      <c r="C2" s="190"/>
      <c r="D2" s="190"/>
      <c r="E2" s="190"/>
      <c r="F2" s="190"/>
      <c r="G2" s="190"/>
      <c r="H2" s="190"/>
      <c r="I2" s="190"/>
      <c r="J2" s="190"/>
      <c r="K2" s="190"/>
    </row>
    <row r="3" spans="1:11" ht="14.1" customHeight="1">
      <c r="A3" s="189" t="s">
        <v>698</v>
      </c>
      <c r="B3" s="189"/>
      <c r="C3" s="189"/>
      <c r="D3" s="189"/>
      <c r="E3" s="189"/>
      <c r="F3" s="189"/>
      <c r="G3" s="189"/>
      <c r="H3" s="189"/>
      <c r="I3" s="189"/>
      <c r="J3" s="189"/>
      <c r="K3" s="189"/>
    </row>
    <row r="4" spans="1:11" ht="14.1" customHeight="1">
      <c r="A4" s="189" t="s">
        <v>576</v>
      </c>
      <c r="B4" s="214">
        <v>0</v>
      </c>
      <c r="C4" s="214">
        <v>1</v>
      </c>
      <c r="D4" s="214">
        <v>2</v>
      </c>
      <c r="E4" s="214">
        <v>3</v>
      </c>
      <c r="F4" s="214">
        <v>4</v>
      </c>
      <c r="G4" s="214">
        <v>5</v>
      </c>
      <c r="H4" s="214">
        <v>6</v>
      </c>
      <c r="I4" s="214">
        <v>7</v>
      </c>
      <c r="J4" s="214">
        <v>8</v>
      </c>
      <c r="K4" s="214">
        <v>9</v>
      </c>
    </row>
    <row r="5" spans="1:11" ht="14.1" customHeight="1">
      <c r="A5" s="190" t="s">
        <v>655</v>
      </c>
      <c r="B5" s="219">
        <f>'DCF Analysis'!B30</f>
        <v>-3675209671.2328768</v>
      </c>
      <c r="C5" s="219">
        <f>'DCF Analysis'!C30</f>
        <v>517066209.4246574</v>
      </c>
      <c r="D5" s="219">
        <f>'DCF Analysis'!D30</f>
        <v>538584900.51371241</v>
      </c>
      <c r="E5" s="219">
        <f>'DCF Analysis'!E30</f>
        <v>570890345.56026173</v>
      </c>
      <c r="F5" s="219">
        <f>'DCF Analysis'!F30</f>
        <v>362293288.37639403</v>
      </c>
      <c r="G5" s="219">
        <f>'DCF Analysis'!G30</f>
        <v>161974052.01675573</v>
      </c>
      <c r="H5" s="219">
        <f>'DCF Analysis'!H30</f>
        <v>568510536.50682569</v>
      </c>
      <c r="I5" s="219">
        <f>'DCF Analysis'!I30</f>
        <v>542848149.43901205</v>
      </c>
      <c r="J5" s="219">
        <f>'DCF Analysis'!J30</f>
        <v>531243869.13541549</v>
      </c>
      <c r="K5" s="219">
        <f>'DCF Analysis'!K30+'DCF Analysis'!B63</f>
        <v>10038027728.289629</v>
      </c>
    </row>
    <row r="6" spans="1:11" ht="14.1" customHeight="1">
      <c r="A6" s="190" t="s">
        <v>699</v>
      </c>
      <c r="B6" s="219">
        <f>'IRR Analysis'!B26</f>
        <v>-603209671.23287678</v>
      </c>
      <c r="C6" s="219">
        <f>'IRR Analysis'!C26</f>
        <v>26433676.091324091</v>
      </c>
      <c r="D6" s="219">
        <f>'IRR Analysis'!D26</f>
        <v>64541167.180379122</v>
      </c>
      <c r="E6" s="219">
        <f>'IRR Analysis'!E26</f>
        <v>113435412.22692844</v>
      </c>
      <c r="F6" s="219">
        <f>'IRR Analysis'!F26</f>
        <v>-78572844.956939265</v>
      </c>
      <c r="G6" s="219">
        <f>'IRR Analysis'!G26</f>
        <v>-262303281.31657755</v>
      </c>
      <c r="H6" s="219">
        <f>'IRR Analysis'!H26</f>
        <v>160822003.17349237</v>
      </c>
      <c r="I6" s="219">
        <f>'IRR Analysis'!I26</f>
        <v>151748416.10567874</v>
      </c>
      <c r="J6" s="219">
        <f>'IRR Analysis'!J26</f>
        <v>156732935.80208218</v>
      </c>
      <c r="K6" s="219">
        <f>'IRR Analysis'!K26</f>
        <v>9680105594.956295</v>
      </c>
    </row>
    <row r="7" spans="1:11" ht="14.1" customHeight="1">
      <c r="A7" s="190"/>
      <c r="B7" s="190"/>
      <c r="C7" s="190"/>
      <c r="D7" s="190"/>
      <c r="E7" s="190"/>
      <c r="F7" s="190"/>
      <c r="G7" s="190"/>
      <c r="H7" s="190"/>
      <c r="I7" s="190"/>
      <c r="J7" s="190"/>
      <c r="K7" s="190"/>
    </row>
    <row r="8" spans="1:11" ht="14.1" customHeight="1">
      <c r="A8" s="189" t="s">
        <v>700</v>
      </c>
      <c r="B8" s="189"/>
      <c r="C8" s="189"/>
      <c r="D8" s="189"/>
      <c r="E8" s="189"/>
      <c r="F8" s="189"/>
      <c r="G8" s="189"/>
      <c r="H8" s="189"/>
      <c r="I8" s="189"/>
      <c r="J8" s="189"/>
      <c r="K8" s="189"/>
    </row>
    <row r="9" spans="1:11" ht="14.1" customHeight="1">
      <c r="A9" s="191" t="s">
        <v>701</v>
      </c>
      <c r="B9" s="191" t="s">
        <v>702</v>
      </c>
      <c r="C9" s="191" t="s">
        <v>703</v>
      </c>
      <c r="D9" s="190"/>
      <c r="E9" s="190"/>
      <c r="F9" s="190"/>
      <c r="G9" s="190"/>
      <c r="H9" s="190"/>
      <c r="I9" s="190"/>
      <c r="J9" s="190"/>
      <c r="K9" s="190"/>
    </row>
    <row r="10" spans="1:11" ht="14.1" customHeight="1">
      <c r="A10" s="225">
        <v>0.04</v>
      </c>
      <c r="B10" s="218">
        <f>NPV($A10,$C$5:$K$5)+$B$5</f>
        <v>6572843454.4999514</v>
      </c>
      <c r="C10" s="186" t="str">
        <f t="shared" ref="C10:C16" si="0">IF(B10&gt;0,"✓ Viable","✗ Not Viable")</f>
        <v>✓ Viable</v>
      </c>
      <c r="D10" s="190"/>
      <c r="E10" s="190"/>
      <c r="F10" s="190"/>
      <c r="G10" s="190"/>
      <c r="H10" s="190"/>
      <c r="I10" s="190"/>
      <c r="J10" s="190"/>
      <c r="K10" s="190"/>
    </row>
    <row r="11" spans="1:11" ht="14.1" customHeight="1">
      <c r="A11" s="225">
        <v>0.05</v>
      </c>
      <c r="B11" s="218">
        <f>NPV($A11,$C$5:$K$5)+$B$5</f>
        <v>5864066054.0444746</v>
      </c>
      <c r="C11" s="186" t="str">
        <f t="shared" si="0"/>
        <v>✓ Viable</v>
      </c>
      <c r="D11" s="190"/>
      <c r="E11" s="190"/>
      <c r="F11" s="190"/>
      <c r="G11" s="190"/>
      <c r="H11" s="190"/>
      <c r="I11" s="190"/>
      <c r="J11" s="190"/>
      <c r="K11" s="190"/>
    </row>
    <row r="12" spans="1:11" ht="14.1" customHeight="1">
      <c r="A12" s="225">
        <v>0.06</v>
      </c>
      <c r="B12" s="218">
        <f>NPV($A12,$C$5:$K$5)+$B$5</f>
        <v>5215869161.7995729</v>
      </c>
      <c r="C12" s="186" t="str">
        <f t="shared" si="0"/>
        <v>✓ Viable</v>
      </c>
      <c r="D12" s="190"/>
      <c r="E12" s="190"/>
      <c r="F12" s="190"/>
      <c r="G12" s="190"/>
      <c r="H12" s="190"/>
      <c r="I12" s="190"/>
      <c r="J12" s="190"/>
      <c r="K12" s="190"/>
    </row>
    <row r="13" spans="1:11" ht="14.1" customHeight="1">
      <c r="A13" s="236">
        <v>0.08</v>
      </c>
      <c r="B13" s="237">
        <f>NPV($A13,$C$5:$K$5)+$B$5</f>
        <v>4078561733.3510818</v>
      </c>
      <c r="C13" s="238" t="str">
        <f t="shared" si="0"/>
        <v>✓ Viable</v>
      </c>
      <c r="D13" s="190" t="s">
        <v>704</v>
      </c>
      <c r="E13" s="190"/>
      <c r="F13" s="190"/>
      <c r="G13" s="190"/>
      <c r="H13" s="190"/>
      <c r="I13" s="190"/>
      <c r="J13" s="190"/>
      <c r="K13" s="190"/>
    </row>
    <row r="14" spans="1:11" ht="14.1" customHeight="1">
      <c r="A14" s="225">
        <v>0.1</v>
      </c>
      <c r="B14" s="218">
        <f>NPV($A14,$C$5:$K$5)+$B$5</f>
        <v>3121313856.9588814</v>
      </c>
      <c r="C14" s="186" t="str">
        <f t="shared" si="0"/>
        <v>✓ Viable</v>
      </c>
      <c r="D14" s="190"/>
      <c r="E14" s="190"/>
      <c r="F14" s="190"/>
      <c r="G14" s="190"/>
      <c r="H14" s="190"/>
      <c r="I14" s="190"/>
      <c r="J14" s="190"/>
      <c r="K14" s="190"/>
    </row>
    <row r="15" spans="1:11" ht="14.1" customHeight="1">
      <c r="A15" s="225">
        <v>0.12</v>
      </c>
      <c r="B15" s="218">
        <f>NPV($A15,$C$5:$K$5)+$B$5</f>
        <v>2312269989.0742884</v>
      </c>
      <c r="C15" s="186" t="str">
        <f t="shared" si="0"/>
        <v>✓ Viable</v>
      </c>
      <c r="D15" s="190"/>
      <c r="E15" s="190"/>
      <c r="F15" s="190"/>
      <c r="G15" s="190"/>
      <c r="H15" s="190"/>
      <c r="I15" s="190"/>
      <c r="J15" s="190"/>
      <c r="K15" s="190"/>
    </row>
    <row r="16" spans="1:11" ht="14.1" customHeight="1">
      <c r="A16" s="225">
        <v>0.15</v>
      </c>
      <c r="B16" s="218">
        <f>NPV($A16,$C$5:$K$5)+$B$5</f>
        <v>1321660501.6723261</v>
      </c>
      <c r="C16" s="186" t="str">
        <f t="shared" si="0"/>
        <v>✓ Viable</v>
      </c>
      <c r="D16" s="190"/>
      <c r="E16" s="190"/>
      <c r="F16" s="190"/>
      <c r="G16" s="190"/>
      <c r="H16" s="190"/>
      <c r="I16" s="190"/>
      <c r="J16" s="190"/>
      <c r="K16" s="190"/>
    </row>
    <row r="17" spans="1:11" ht="14.1" customHeight="1">
      <c r="A17" s="190"/>
      <c r="B17" s="190"/>
      <c r="C17" s="190"/>
      <c r="D17" s="190"/>
      <c r="E17" s="190"/>
      <c r="F17" s="190"/>
      <c r="G17" s="190"/>
      <c r="H17" s="190"/>
      <c r="I17" s="190"/>
      <c r="J17" s="190"/>
      <c r="K17" s="190"/>
    </row>
    <row r="18" spans="1:11" ht="14.1" customHeight="1">
      <c r="A18" s="189" t="s">
        <v>705</v>
      </c>
      <c r="B18" s="189"/>
      <c r="C18" s="189"/>
      <c r="D18" s="189"/>
      <c r="E18" s="189"/>
      <c r="F18" s="189"/>
      <c r="G18" s="189"/>
      <c r="H18" s="189"/>
      <c r="I18" s="189"/>
      <c r="J18" s="189"/>
      <c r="K18" s="189"/>
    </row>
    <row r="19" spans="1:11" ht="14.1" customHeight="1">
      <c r="A19" s="191" t="s">
        <v>706</v>
      </c>
      <c r="B19" s="191" t="s">
        <v>702</v>
      </c>
      <c r="C19" s="191" t="s">
        <v>703</v>
      </c>
      <c r="D19" s="190"/>
      <c r="E19" s="190"/>
      <c r="F19" s="190"/>
      <c r="G19" s="190"/>
      <c r="H19" s="190"/>
      <c r="I19" s="190"/>
      <c r="J19" s="190"/>
      <c r="K19" s="190"/>
    </row>
    <row r="20" spans="1:11" ht="14.1" customHeight="1">
      <c r="A20" s="225">
        <v>0.08</v>
      </c>
      <c r="B20" s="218">
        <f>NPV($A20,$C$6:$K$6)+$B$6</f>
        <v>4447405336.9738989</v>
      </c>
      <c r="C20" s="186" t="str">
        <f t="shared" ref="C20:C26" si="1">IF(B20&gt;0,"✓ Viable","✗ Not Viable")</f>
        <v>✓ Viable</v>
      </c>
      <c r="D20" s="190"/>
      <c r="E20" s="190"/>
      <c r="F20" s="190"/>
      <c r="G20" s="190"/>
      <c r="H20" s="190"/>
      <c r="I20" s="190"/>
      <c r="J20" s="190"/>
      <c r="K20" s="190"/>
    </row>
    <row r="21" spans="1:11" ht="14.1" customHeight="1">
      <c r="A21" s="225">
        <v>0.1</v>
      </c>
      <c r="B21" s="218">
        <f>NPV($A21,$C$6:$K$6)+$B$6</f>
        <v>3689928003.837882</v>
      </c>
      <c r="C21" s="186" t="str">
        <f t="shared" si="1"/>
        <v>✓ Viable</v>
      </c>
      <c r="D21" s="190"/>
      <c r="E21" s="190"/>
      <c r="F21" s="190"/>
      <c r="G21" s="190"/>
      <c r="H21" s="190"/>
      <c r="I21" s="190"/>
      <c r="J21" s="190"/>
      <c r="K21" s="190"/>
    </row>
    <row r="22" spans="1:11" ht="14.1" customHeight="1">
      <c r="A22" s="236">
        <v>0.12</v>
      </c>
      <c r="B22" s="237">
        <f>NPV($A22,$C$6:$K$6)+$B$6</f>
        <v>3057977978.0208912</v>
      </c>
      <c r="C22" s="238" t="str">
        <f t="shared" si="1"/>
        <v>✓ Viable</v>
      </c>
      <c r="D22" s="190" t="s">
        <v>707</v>
      </c>
      <c r="E22" s="190"/>
      <c r="F22" s="190"/>
      <c r="G22" s="190"/>
      <c r="H22" s="190"/>
      <c r="I22" s="190"/>
      <c r="J22" s="190"/>
      <c r="K22" s="190"/>
    </row>
    <row r="23" spans="1:11" ht="14.1" customHeight="1">
      <c r="A23" s="225">
        <v>0.15</v>
      </c>
      <c r="B23" s="218">
        <f>NPV($A23,$C$6:$K$6)+$B$6</f>
        <v>2297330865.9213877</v>
      </c>
      <c r="C23" s="186" t="str">
        <f t="shared" si="1"/>
        <v>✓ Viable</v>
      </c>
      <c r="D23" s="190"/>
      <c r="E23" s="190"/>
      <c r="F23" s="190"/>
      <c r="G23" s="190"/>
      <c r="H23" s="190"/>
      <c r="I23" s="190"/>
      <c r="J23" s="190"/>
      <c r="K23" s="190"/>
    </row>
    <row r="24" spans="1:11" ht="14.1" customHeight="1">
      <c r="A24" s="225">
        <v>0.18</v>
      </c>
      <c r="B24" s="218">
        <f>NPV($A24,$C$6:$K$6)+$B$6</f>
        <v>1710749008.5071383</v>
      </c>
      <c r="C24" s="186" t="str">
        <f t="shared" si="1"/>
        <v>✓ Viable</v>
      </c>
      <c r="D24" s="190"/>
      <c r="E24" s="190"/>
      <c r="F24" s="190"/>
      <c r="G24" s="190"/>
      <c r="H24" s="190"/>
      <c r="I24" s="190"/>
      <c r="J24" s="190"/>
      <c r="K24" s="190"/>
    </row>
    <row r="25" spans="1:11" ht="14.1" customHeight="1">
      <c r="A25" s="225">
        <v>0.2</v>
      </c>
      <c r="B25" s="218">
        <f>NPV($A25,$C$6:$K$6)+$B$6</f>
        <v>1394707886.3747034</v>
      </c>
      <c r="C25" s="186" t="str">
        <f t="shared" si="1"/>
        <v>✓ Viable</v>
      </c>
      <c r="D25" s="190"/>
      <c r="E25" s="190"/>
      <c r="F25" s="190"/>
      <c r="G25" s="190"/>
      <c r="H25" s="190"/>
      <c r="I25" s="190"/>
      <c r="J25" s="190"/>
      <c r="K25" s="190"/>
    </row>
    <row r="26" spans="1:11" ht="14.1" customHeight="1">
      <c r="A26" s="225">
        <v>0.25</v>
      </c>
      <c r="B26" s="218">
        <f>NPV($A26,$C$6:$K$6)+$B$6</f>
        <v>798707246.75061059</v>
      </c>
      <c r="C26" s="186" t="str">
        <f t="shared" si="1"/>
        <v>✓ Viable</v>
      </c>
      <c r="D26" s="190"/>
      <c r="E26" s="190"/>
      <c r="F26" s="190"/>
      <c r="G26" s="190"/>
      <c r="H26" s="190"/>
      <c r="I26" s="190"/>
      <c r="J26" s="190"/>
      <c r="K26" s="190"/>
    </row>
    <row r="27" spans="1:11" ht="14.1" customHeight="1">
      <c r="A27" s="190"/>
      <c r="B27" s="190"/>
      <c r="C27" s="190"/>
      <c r="D27" s="190"/>
      <c r="E27" s="190"/>
      <c r="F27" s="190"/>
      <c r="G27" s="190"/>
      <c r="H27" s="190"/>
      <c r="I27" s="190"/>
      <c r="J27" s="190"/>
      <c r="K27" s="190"/>
    </row>
    <row r="28" spans="1:11" ht="14.1" customHeight="1">
      <c r="A28" s="189" t="s">
        <v>708</v>
      </c>
      <c r="B28" s="189"/>
      <c r="C28" s="189"/>
      <c r="D28" s="189"/>
      <c r="E28" s="189"/>
      <c r="F28" s="189"/>
      <c r="G28" s="189"/>
      <c r="H28" s="189"/>
      <c r="I28" s="189"/>
      <c r="J28" s="189"/>
      <c r="K28" s="189"/>
    </row>
    <row r="29" spans="1:11" ht="14.1" customHeight="1">
      <c r="A29" s="191" t="s">
        <v>709</v>
      </c>
      <c r="B29" s="234">
        <f>IRR($B$5:$K$5)</f>
        <v>0.20568046078310709</v>
      </c>
      <c r="C29" s="235" t="s">
        <v>710</v>
      </c>
      <c r="D29" s="190"/>
      <c r="E29" s="190"/>
      <c r="F29" s="190"/>
      <c r="G29" s="190"/>
      <c r="H29" s="190"/>
      <c r="I29" s="190"/>
      <c r="J29" s="190"/>
      <c r="K29" s="190"/>
    </row>
    <row r="30" spans="1:11" ht="14.1" customHeight="1">
      <c r="A30" s="191" t="s">
        <v>711</v>
      </c>
      <c r="B30" s="234">
        <f>IRR($B$6:$K$6)</f>
        <v>0.38092292466209332</v>
      </c>
      <c r="C30" s="235" t="s">
        <v>710</v>
      </c>
      <c r="D30" s="190"/>
      <c r="E30" s="190"/>
      <c r="F30" s="190"/>
      <c r="G30" s="190"/>
      <c r="H30" s="190"/>
      <c r="I30" s="190"/>
      <c r="J30" s="190"/>
      <c r="K30" s="190"/>
    </row>
    <row r="33" spans="1:9">
      <c r="A33" s="193" t="s">
        <v>1948</v>
      </c>
      <c r="B33" s="416"/>
      <c r="C33" s="416"/>
      <c r="D33" s="416"/>
      <c r="E33" s="416"/>
      <c r="F33" s="416"/>
      <c r="G33" s="416"/>
      <c r="H33" s="416"/>
      <c r="I33" s="416"/>
    </row>
    <row r="34" spans="1:9">
      <c r="A34" s="451" t="s">
        <v>1949</v>
      </c>
      <c r="B34" s="415"/>
      <c r="C34" s="600" t="s">
        <v>742</v>
      </c>
      <c r="D34" s="415"/>
      <c r="E34" s="415"/>
      <c r="F34" s="415"/>
      <c r="G34" s="415"/>
      <c r="H34" s="415"/>
      <c r="I34" s="415"/>
    </row>
    <row r="35" spans="1:9">
      <c r="A35" s="602" t="s">
        <v>1950</v>
      </c>
      <c r="B35" s="603"/>
      <c r="C35" s="604" t="s">
        <v>1951</v>
      </c>
      <c r="D35" s="604" t="s">
        <v>1730</v>
      </c>
      <c r="E35" s="604" t="s">
        <v>1952</v>
      </c>
      <c r="F35" s="604" t="s">
        <v>1792</v>
      </c>
      <c r="G35" s="604" t="s">
        <v>1953</v>
      </c>
      <c r="H35" s="604" t="s">
        <v>1789</v>
      </c>
      <c r="I35" s="604" t="s">
        <v>1954</v>
      </c>
    </row>
    <row r="36" spans="1:9">
      <c r="A36" s="198">
        <v>7.0000000000000007E-2</v>
      </c>
      <c r="C36" s="544" cm="1">
        <f t="array" ref="C36">SUMPRODUCT($C$5:$J$5/(1+$A36)^{0.5,1.5,2.5,3.5,4.5,5.5,6.5,7.5})+'DCF Analysis'!$K$30/(1+$A36)^8.5+('DCF Analysis'!$B$49*8/(1+$A36)^9)+'DCF Analysis'!$B$40+$B$5</f>
        <v>-351841642.80099106</v>
      </c>
      <c r="D36" s="544" cm="1">
        <f t="array" ref="D36">SUMPRODUCT($C$5:$J$5/(1+$A36)^{0.5,1.5,2.5,3.5,4.5,5.5,6.5,7.5})+'DCF Analysis'!$K$30/(1+$A36)^8.5+('DCF Analysis'!$B$49*10/(1+$A36)^9)+'DCF Analysis'!$B$40+$B$5</f>
        <v>387677506.51179028</v>
      </c>
      <c r="E36" s="544" cm="1">
        <f t="array" ref="E36">SUMPRODUCT($C$5:$J$5/(1+$A36)^{0.5,1.5,2.5,3.5,4.5,5.5,6.5,7.5})+'DCF Analysis'!$K$30/(1+$A36)^8.5+('DCF Analysis'!$B$49*12/(1+$A36)^9)+'DCF Analysis'!$B$40+$B$5</f>
        <v>1127196655.8245726</v>
      </c>
      <c r="F36" s="544" cm="1">
        <f t="array" ref="F36">SUMPRODUCT($C$5:$J$5/(1+$A36)^{0.5,1.5,2.5,3.5,4.5,5.5,6.5,7.5})+'DCF Analysis'!$K$30/(1+$A36)^8.5+('DCF Analysis'!$B$49*14/(1+$A36)^9)+'DCF Analysis'!$B$40+$B$5</f>
        <v>1866715805.1373529</v>
      </c>
      <c r="G36" s="544" cm="1">
        <f t="array" ref="G36">SUMPRODUCT($C$5:$J$5/(1+$A36)^{0.5,1.5,2.5,3.5,4.5,5.5,6.5,7.5})+'DCF Analysis'!$K$30/(1+$A36)^8.5+('DCF Analysis'!$B$49*16/(1+$A36)^9)+'DCF Analysis'!$B$40+$B$5</f>
        <v>2606234954.4501352</v>
      </c>
      <c r="H36" s="544" cm="1">
        <f t="array" ref="H36">SUMPRODUCT($C$5:$J$5/(1+$A36)^{0.5,1.5,2.5,3.5,4.5,5.5,6.5,7.5})+'DCF Analysis'!$K$30/(1+$A36)^8.5+('DCF Analysis'!$B$49*18/(1+$A36)^9)+'DCF Analysis'!$B$40+$B$5</f>
        <v>3345754103.7629156</v>
      </c>
      <c r="I36" s="544" cm="1">
        <f t="array" ref="I36">SUMPRODUCT($C$5:$J$5/(1+$A36)^{0.5,1.5,2.5,3.5,4.5,5.5,6.5,7.5})+'DCF Analysis'!$K$30/(1+$A36)^8.5+('DCF Analysis'!$B$49*20/(1+$A36)^9)+'DCF Analysis'!$B$40+$B$5</f>
        <v>4085273253.0756979</v>
      </c>
    </row>
    <row r="37" spans="1:9">
      <c r="A37" s="198">
        <v>0.08</v>
      </c>
      <c r="C37" s="544" cm="1">
        <f t="array" ref="C37">SUMPRODUCT($C$5:$J$5/(1+$A37)^{0.5,1.5,2.5,3.5,4.5,5.5,6.5,7.5})+'DCF Analysis'!$K$30/(1+$A37)^8.5+('DCF Analysis'!$B$49*8/(1+$A37)^9)+'DCF Analysis'!$B$40+$B$5</f>
        <v>-707513354.03493881</v>
      </c>
      <c r="D37" s="544" cm="1">
        <f t="array" ref="D37">SUMPRODUCT($C$5:$J$5/(1+$A37)^{0.5,1.5,2.5,3.5,4.5,5.5,6.5,7.5})+'DCF Analysis'!$K$30/(1+$A37)^8.5+('DCF Analysis'!$B$49*10/(1+$A37)^9)+'DCF Analysis'!$B$40+$B$5</f>
        <v>-27386967.942200661</v>
      </c>
      <c r="E37" s="544" cm="1">
        <f t="array" ref="E37">SUMPRODUCT($C$5:$J$5/(1+$A37)^{0.5,1.5,2.5,3.5,4.5,5.5,6.5,7.5})+'DCF Analysis'!$K$30/(1+$A37)^8.5+('DCF Analysis'!$B$49*12/(1+$A37)^9)+'DCF Analysis'!$B$40+$B$5</f>
        <v>652739418.15053654</v>
      </c>
      <c r="F37" s="544" cm="1">
        <f t="array" ref="F37">SUMPRODUCT($C$5:$J$5/(1+$A37)^{0.5,1.5,2.5,3.5,4.5,5.5,6.5,7.5})+'DCF Analysis'!$K$30/(1+$A37)^8.5+('DCF Analysis'!$B$49*14/(1+$A37)^9)+'DCF Analysis'!$B$40+$B$5</f>
        <v>1332865804.2432747</v>
      </c>
      <c r="G37" s="544" cm="1">
        <f t="array" ref="G37">SUMPRODUCT($C$5:$J$5/(1+$A37)^{0.5,1.5,2.5,3.5,4.5,5.5,6.5,7.5})+'DCF Analysis'!$K$30/(1+$A37)^8.5+('DCF Analysis'!$B$49*16/(1+$A37)^9)+'DCF Analysis'!$B$40+$B$5</f>
        <v>2012992190.3360128</v>
      </c>
      <c r="H37" s="544" cm="1">
        <f t="array" ref="H37">SUMPRODUCT($C$5:$J$5/(1+$A37)^{0.5,1.5,2.5,3.5,4.5,5.5,6.5,7.5})+'DCF Analysis'!$K$30/(1+$A37)^8.5+('DCF Analysis'!$B$49*18/(1+$A37)^9)+'DCF Analysis'!$B$40+$B$5</f>
        <v>2693118576.42875</v>
      </c>
      <c r="I37" s="544" cm="1">
        <f t="array" ref="I37">SUMPRODUCT($C$5:$J$5/(1+$A37)^{0.5,1.5,2.5,3.5,4.5,5.5,6.5,7.5})+'DCF Analysis'!$K$30/(1+$A37)^8.5+('DCF Analysis'!$B$49*20/(1+$A37)^9)+'DCF Analysis'!$B$40+$B$5</f>
        <v>3373244962.5214872</v>
      </c>
    </row>
    <row r="38" spans="1:9">
      <c r="A38" s="598">
        <v>0.09</v>
      </c>
      <c r="C38" s="544" cm="1">
        <f t="array" ref="C38">SUMPRODUCT($C$5:$J$5/(1+$A38)^{0.5,1.5,2.5,3.5,4.5,5.5,6.5,7.5})+'DCF Analysis'!$K$30/(1+$A38)^8.5+('DCF Analysis'!$B$49*8/(1+$A38)^9)+'DCF Analysis'!$B$40+$B$5</f>
        <v>-1034990724.3908367</v>
      </c>
      <c r="D38" s="544" cm="1">
        <f t="array" ref="D38">SUMPRODUCT($C$5:$J$5/(1+$A38)^{0.5,1.5,2.5,3.5,4.5,5.5,6.5,7.5})+'DCF Analysis'!$K$30/(1+$A38)^8.5+('DCF Analysis'!$B$49*10/(1+$A38)^9)+'DCF Analysis'!$B$40+$B$5</f>
        <v>-409004261.02081966</v>
      </c>
      <c r="E38" s="544" cm="1">
        <f t="array" ref="E38">SUMPRODUCT($C$5:$J$5/(1+$A38)^{0.5,1.5,2.5,3.5,4.5,5.5,6.5,7.5})+'DCF Analysis'!$K$30/(1+$A38)^8.5+('DCF Analysis'!$B$49*12/(1+$A38)^9)+'DCF Analysis'!$B$40+$B$5</f>
        <v>216982202.34919643</v>
      </c>
      <c r="F38" s="599" cm="1">
        <f t="array" ref="F38">SUMPRODUCT($C$5:$J$5/(1+$A38)^{0.5,1.5,2.5,3.5,4.5,5.5,6.5,7.5})+'DCF Analysis'!$K$30/(1+$A38)^8.5+('DCF Analysis'!$B$49*14/(1+$A38)^9)+'DCF Analysis'!$B$40+$B$5</f>
        <v>842968665.71921349</v>
      </c>
      <c r="G38" s="544" cm="1">
        <f t="array" ref="G38">SUMPRODUCT($C$5:$J$5/(1+$A38)^{0.5,1.5,2.5,3.5,4.5,5.5,6.5,7.5})+'DCF Analysis'!$K$30/(1+$A38)^8.5+('DCF Analysis'!$B$49*16/(1+$A38)^9)+'DCF Analysis'!$B$40+$B$5</f>
        <v>1468955129.0892296</v>
      </c>
      <c r="H38" s="544" cm="1">
        <f t="array" ref="H38">SUMPRODUCT($C$5:$J$5/(1+$A38)^{0.5,1.5,2.5,3.5,4.5,5.5,6.5,7.5})+'DCF Analysis'!$K$30/(1+$A38)^8.5+('DCF Analysis'!$B$49*18/(1+$A38)^9)+'DCF Analysis'!$B$40+$B$5</f>
        <v>2094941592.4592466</v>
      </c>
      <c r="I38" s="544" cm="1">
        <f t="array" ref="I38">SUMPRODUCT($C$5:$J$5/(1+$A38)^{0.5,1.5,2.5,3.5,4.5,5.5,6.5,7.5})+'DCF Analysis'!$K$30/(1+$A38)^8.5+('DCF Analysis'!$B$49*20/(1+$A38)^9)+'DCF Analysis'!$B$40+$B$5</f>
        <v>2720928055.8292627</v>
      </c>
    </row>
    <row r="39" spans="1:9">
      <c r="A39" s="198">
        <v>0.1</v>
      </c>
      <c r="C39" s="544" cm="1">
        <f t="array" ref="C39">SUMPRODUCT($C$5:$J$5/(1+$A39)^{0.5,1.5,2.5,3.5,4.5,5.5,6.5,7.5})+'DCF Analysis'!$K$30/(1+$A39)^8.5+('DCF Analysis'!$B$49*8/(1+$A39)^9)+'DCF Analysis'!$B$40+$B$5</f>
        <v>-1336842381.919343</v>
      </c>
      <c r="D39" s="544" cm="1">
        <f t="array" ref="D39">SUMPRODUCT($C$5:$J$5/(1+$A39)^{0.5,1.5,2.5,3.5,4.5,5.5,6.5,7.5})+'DCF Analysis'!$K$30/(1+$A39)^8.5+('DCF Analysis'!$B$49*10/(1+$A39)^9)+'DCF Analysis'!$B$40+$B$5</f>
        <v>-760249526.18953419</v>
      </c>
      <c r="E39" s="544" cm="1">
        <f t="array" ref="E39">SUMPRODUCT($C$5:$J$5/(1+$A39)^{0.5,1.5,2.5,3.5,4.5,5.5,6.5,7.5})+'DCF Analysis'!$K$30/(1+$A39)^8.5+('DCF Analysis'!$B$49*12/(1+$A39)^9)+'DCF Analysis'!$B$40+$B$5</f>
        <v>-183656670.45972538</v>
      </c>
      <c r="F39" s="544" cm="1">
        <f t="array" ref="F39">SUMPRODUCT($C$5:$J$5/(1+$A39)^{0.5,1.5,2.5,3.5,4.5,5.5,6.5,7.5})+'DCF Analysis'!$K$30/(1+$A39)^8.5+('DCF Analysis'!$B$49*14/(1+$A39)^9)+'DCF Analysis'!$B$40+$B$5</f>
        <v>392936185.27008343</v>
      </c>
      <c r="G39" s="544" cm="1">
        <f t="array" ref="G39">SUMPRODUCT($C$5:$J$5/(1+$A39)^{0.5,1.5,2.5,3.5,4.5,5.5,6.5,7.5})+'DCF Analysis'!$K$30/(1+$A39)^8.5+('DCF Analysis'!$B$49*16/(1+$A39)^9)+'DCF Analysis'!$B$40+$B$5</f>
        <v>969529040.99989128</v>
      </c>
      <c r="H39" s="544" cm="1">
        <f t="array" ref="H39">SUMPRODUCT($C$5:$J$5/(1+$A39)^{0.5,1.5,2.5,3.5,4.5,5.5,6.5,7.5})+'DCF Analysis'!$K$30/(1+$A39)^8.5+('DCF Analysis'!$B$49*18/(1+$A39)^9)+'DCF Analysis'!$B$40+$B$5</f>
        <v>1546121896.7297001</v>
      </c>
      <c r="I39" s="544" cm="1">
        <f t="array" ref="I39">SUMPRODUCT($C$5:$J$5/(1+$A39)^{0.5,1.5,2.5,3.5,4.5,5.5,6.5,7.5})+'DCF Analysis'!$K$30/(1+$A39)^8.5+('DCF Analysis'!$B$49*20/(1+$A39)^9)+'DCF Analysis'!$B$40+$B$5</f>
        <v>2122714752.4595098</v>
      </c>
    </row>
    <row r="40" spans="1:9">
      <c r="A40" s="198">
        <v>0.11</v>
      </c>
      <c r="C40" s="544" cm="1">
        <f t="array" ref="C40">SUMPRODUCT($C$5:$J$5/(1+$A40)^{0.5,1.5,2.5,3.5,4.5,5.5,6.5,7.5})+'DCF Analysis'!$K$30/(1+$A40)^8.5+('DCF Analysis'!$B$49*8/(1+$A40)^9)+'DCF Analysis'!$B$40+$B$5</f>
        <v>-1615378455.2626524</v>
      </c>
      <c r="D40" s="544" cm="1">
        <f t="array" ref="D40">SUMPRODUCT($C$5:$J$5/(1+$A40)^{0.5,1.5,2.5,3.5,4.5,5.5,6.5,7.5})+'DCF Analysis'!$K$30/(1+$A40)^8.5+('DCF Analysis'!$B$49*10/(1+$A40)^9)+'DCF Analysis'!$B$40+$B$5</f>
        <v>-1083886599.201479</v>
      </c>
      <c r="E40" s="544" cm="1">
        <f t="array" ref="E40">SUMPRODUCT($C$5:$J$5/(1+$A40)^{0.5,1.5,2.5,3.5,4.5,5.5,6.5,7.5})+'DCF Analysis'!$K$30/(1+$A40)^8.5+('DCF Analysis'!$B$49*12/(1+$A40)^9)+'DCF Analysis'!$B$40+$B$5</f>
        <v>-552394743.14030457</v>
      </c>
      <c r="F40" s="544" cm="1">
        <f t="array" ref="F40">SUMPRODUCT($C$5:$J$5/(1+$A40)^{0.5,1.5,2.5,3.5,4.5,5.5,6.5,7.5})+'DCF Analysis'!$K$30/(1+$A40)^8.5+('DCF Analysis'!$B$49*14/(1+$A40)^9)+'DCF Analysis'!$B$40+$B$5</f>
        <v>-20902887.079131126</v>
      </c>
      <c r="G40" s="544" cm="1">
        <f t="array" ref="G40">SUMPRODUCT($C$5:$J$5/(1+$A40)^{0.5,1.5,2.5,3.5,4.5,5.5,6.5,7.5})+'DCF Analysis'!$K$30/(1+$A40)^8.5+('DCF Analysis'!$B$49*16/(1+$A40)^9)+'DCF Analysis'!$B$40+$B$5</f>
        <v>510588968.98204327</v>
      </c>
      <c r="H40" s="544" cm="1">
        <f t="array" ref="H40">SUMPRODUCT($C$5:$J$5/(1+$A40)^{0.5,1.5,2.5,3.5,4.5,5.5,6.5,7.5})+'DCF Analysis'!$K$30/(1+$A40)^8.5+('DCF Analysis'!$B$49*18/(1+$A40)^9)+'DCF Analysis'!$B$40+$B$5</f>
        <v>1042080825.0432177</v>
      </c>
      <c r="I40" s="544" cm="1">
        <f t="array" ref="I40">SUMPRODUCT($C$5:$J$5/(1+$A40)^{0.5,1.5,2.5,3.5,4.5,5.5,6.5,7.5})+'DCF Analysis'!$K$30/(1+$A40)^8.5+('DCF Analysis'!$B$49*20/(1+$A40)^9)+'DCF Analysis'!$B$40+$B$5</f>
        <v>1573572681.1043901</v>
      </c>
    </row>
    <row r="41" spans="1:9">
      <c r="A41" s="198">
        <v>0.12</v>
      </c>
      <c r="C41" s="544" cm="1">
        <f t="array" ref="C41">SUMPRODUCT($C$5:$J$5/(1+$A41)^{0.5,1.5,2.5,3.5,4.5,5.5,6.5,7.5})+'DCF Analysis'!$K$30/(1+$A41)^8.5+('DCF Analysis'!$B$49*8/(1+$A41)^9)+'DCF Analysis'!$B$40+$B$5</f>
        <v>-1872678818.1688585</v>
      </c>
      <c r="D41" s="544" cm="1">
        <f t="array" ref="D41">SUMPRODUCT($C$5:$J$5/(1+$A41)^{0.5,1.5,2.5,3.5,4.5,5.5,6.5,7.5})+'DCF Analysis'!$K$30/(1+$A41)^8.5+('DCF Analysis'!$B$49*10/(1+$A41)^9)+'DCF Analysis'!$B$40+$B$5</f>
        <v>-1382402157.5574188</v>
      </c>
      <c r="E41" s="544" cm="1">
        <f t="array" ref="E41">SUMPRODUCT($C$5:$J$5/(1+$A41)^{0.5,1.5,2.5,3.5,4.5,5.5,6.5,7.5})+'DCF Analysis'!$K$30/(1+$A41)^8.5+('DCF Analysis'!$B$49*12/(1+$A41)^9)+'DCF Analysis'!$B$40+$B$5</f>
        <v>-892125496.94597912</v>
      </c>
      <c r="F41" s="544" cm="1">
        <f t="array" ref="F41">SUMPRODUCT($C$5:$J$5/(1+$A41)^{0.5,1.5,2.5,3.5,4.5,5.5,6.5,7.5})+'DCF Analysis'!$K$30/(1+$A41)^8.5+('DCF Analysis'!$B$49*14/(1+$A41)^9)+'DCF Analysis'!$B$40+$B$5</f>
        <v>-401848836.33453846</v>
      </c>
      <c r="G41" s="544" cm="1">
        <f t="array" ref="G41">SUMPRODUCT($C$5:$J$5/(1+$A41)^{0.5,1.5,2.5,3.5,4.5,5.5,6.5,7.5})+'DCF Analysis'!$K$30/(1+$A41)^8.5+('DCF Analysis'!$B$49*16/(1+$A41)^9)+'DCF Analysis'!$B$40+$B$5</f>
        <v>88427824.276900291</v>
      </c>
      <c r="H41" s="544" cm="1">
        <f t="array" ref="H41">SUMPRODUCT($C$5:$J$5/(1+$A41)^{0.5,1.5,2.5,3.5,4.5,5.5,6.5,7.5})+'DCF Analysis'!$K$30/(1+$A41)^8.5+('DCF Analysis'!$B$49*18/(1+$A41)^9)+'DCF Analysis'!$B$40+$B$5</f>
        <v>578704484.88834095</v>
      </c>
      <c r="I41" s="544" cm="1">
        <f t="array" ref="I41">SUMPRODUCT($C$5:$J$5/(1+$A41)^{0.5,1.5,2.5,3.5,4.5,5.5,6.5,7.5})+'DCF Analysis'!$K$30/(1+$A41)^8.5+('DCF Analysis'!$B$49*20/(1+$A41)^9)+'DCF Analysis'!$B$40+$B$5</f>
        <v>1068981145.4997797</v>
      </c>
    </row>
    <row r="42" spans="1:9">
      <c r="A42" s="198">
        <v>0.13</v>
      </c>
      <c r="C42" s="544" cm="1">
        <f t="array" ref="C42">SUMPRODUCT($C$5:$J$5/(1+$A42)^{0.5,1.5,2.5,3.5,4.5,5.5,6.5,7.5})+'DCF Analysis'!$K$30/(1+$A42)^8.5+('DCF Analysis'!$B$49*8/(1+$A42)^9)+'DCF Analysis'!$B$40+$B$5</f>
        <v>-2110618017.8593712</v>
      </c>
      <c r="D42" s="544" cm="1">
        <f t="array" ref="D42">SUMPRODUCT($C$5:$J$5/(1+$A42)^{0.5,1.5,2.5,3.5,4.5,5.5,6.5,7.5})+'DCF Analysis'!$K$30/(1+$A42)^8.5+('DCF Analysis'!$B$49*10/(1+$A42)^9)+'DCF Analysis'!$B$40+$B$5</f>
        <v>-1658035856.5971737</v>
      </c>
      <c r="E42" s="544" cm="1">
        <f t="array" ref="E42">SUMPRODUCT($C$5:$J$5/(1+$A42)^{0.5,1.5,2.5,3.5,4.5,5.5,6.5,7.5})+'DCF Analysis'!$K$30/(1+$A42)^8.5+('DCF Analysis'!$B$49*12/(1+$A42)^9)+'DCF Analysis'!$B$40+$B$5</f>
        <v>-1205453695.3349752</v>
      </c>
      <c r="F42" s="544" cm="1">
        <f t="array" ref="F42">SUMPRODUCT($C$5:$J$5/(1+$A42)^{0.5,1.5,2.5,3.5,4.5,5.5,6.5,7.5})+'DCF Analysis'!$K$30/(1+$A42)^8.5+('DCF Analysis'!$B$49*14/(1+$A42)^9)+'DCF Analysis'!$B$40+$B$5</f>
        <v>-752871534.07277775</v>
      </c>
      <c r="G42" s="544" cm="1">
        <f t="array" ref="G42">SUMPRODUCT($C$5:$J$5/(1+$A42)^{0.5,1.5,2.5,3.5,4.5,5.5,6.5,7.5})+'DCF Analysis'!$K$30/(1+$A42)^8.5+('DCF Analysis'!$B$49*16/(1+$A42)^9)+'DCF Analysis'!$B$40+$B$5</f>
        <v>-300289372.81058121</v>
      </c>
      <c r="H42" s="544" cm="1">
        <f t="array" ref="H42">SUMPRODUCT($C$5:$J$5/(1+$A42)^{0.5,1.5,2.5,3.5,4.5,5.5,6.5,7.5})+'DCF Analysis'!$K$30/(1+$A42)^8.5+('DCF Analysis'!$B$49*18/(1+$A42)^9)+'DCF Analysis'!$B$40+$B$5</f>
        <v>152292788.45161629</v>
      </c>
      <c r="I42" s="544" cm="1">
        <f t="array" ref="I42">SUMPRODUCT($C$5:$J$5/(1+$A42)^{0.5,1.5,2.5,3.5,4.5,5.5,6.5,7.5})+'DCF Analysis'!$K$30/(1+$A42)^8.5+('DCF Analysis'!$B$49*20/(1+$A42)^9)+'DCF Analysis'!$B$40+$B$5</f>
        <v>604874949.71381378</v>
      </c>
    </row>
    <row r="44" spans="1:9">
      <c r="A44" s="600" t="s">
        <v>1969</v>
      </c>
    </row>
    <row r="46" spans="1:9">
      <c r="A46" s="193" t="s">
        <v>1964</v>
      </c>
      <c r="B46" s="416"/>
      <c r="C46" s="416"/>
      <c r="D46" s="416"/>
      <c r="E46" s="416"/>
      <c r="F46" s="416"/>
      <c r="G46" s="416"/>
      <c r="H46" s="416"/>
      <c r="I46" s="416"/>
    </row>
    <row r="47" spans="1:9">
      <c r="A47" s="451" t="s">
        <v>1955</v>
      </c>
      <c r="B47" s="415"/>
      <c r="C47" s="600" t="s">
        <v>1965</v>
      </c>
      <c r="D47" s="415"/>
      <c r="E47" s="415"/>
      <c r="F47" s="415"/>
      <c r="G47" s="415"/>
      <c r="H47" s="415"/>
      <c r="I47" s="415"/>
    </row>
    <row r="48" spans="1:9">
      <c r="A48" s="602" t="s">
        <v>1966</v>
      </c>
      <c r="B48" s="603"/>
      <c r="C48" s="609">
        <v>-0.03</v>
      </c>
      <c r="D48" s="609">
        <v>-0.02</v>
      </c>
      <c r="E48" s="609">
        <v>-0.01</v>
      </c>
      <c r="F48" s="609">
        <v>0</v>
      </c>
      <c r="G48" s="609">
        <v>0.01</v>
      </c>
      <c r="H48" s="609">
        <v>0.02</v>
      </c>
      <c r="I48" s="609">
        <v>0.03</v>
      </c>
    </row>
    <row r="49" spans="1:9">
      <c r="A49" s="584">
        <v>0.7</v>
      </c>
      <c r="B49" s="600" t="s">
        <v>1956</v>
      </c>
      <c r="C49" s="198">
        <v>0.16180845409893138</v>
      </c>
      <c r="D49" s="198">
        <v>0.20092221938577584</v>
      </c>
      <c r="E49" s="198">
        <v>0.23761008711970366</v>
      </c>
      <c r="F49" s="198">
        <v>0.2723439415625466</v>
      </c>
      <c r="G49" s="198">
        <v>0.30547492286457373</v>
      </c>
      <c r="H49" s="198">
        <v>0.33727082697911359</v>
      </c>
      <c r="I49" s="198">
        <v>0.3679401665127443</v>
      </c>
    </row>
    <row r="50" spans="1:9">
      <c r="A50" s="584">
        <v>0.75</v>
      </c>
      <c r="B50" s="600" t="s">
        <v>1957</v>
      </c>
      <c r="C50" s="198">
        <v>0.19587136664330729</v>
      </c>
      <c r="D50" s="198">
        <v>0.23339051617324966</v>
      </c>
      <c r="E50" s="198">
        <v>0.26882282645373951</v>
      </c>
      <c r="F50" s="198">
        <v>0.30255363853993672</v>
      </c>
      <c r="G50" s="198">
        <v>0.33487440527624623</v>
      </c>
      <c r="H50" s="198">
        <v>0.36601047281366345</v>
      </c>
      <c r="I50" s="198">
        <v>0.39613936675616412</v>
      </c>
    </row>
    <row r="51" spans="1:9">
      <c r="A51" s="584">
        <v>0.8</v>
      </c>
      <c r="B51" s="600" t="s">
        <v>1958</v>
      </c>
      <c r="C51" s="198">
        <v>0.22685743940469538</v>
      </c>
      <c r="D51" s="198">
        <v>0.2631186712404604</v>
      </c>
      <c r="E51" s="198">
        <v>0.29755244905777539</v>
      </c>
      <c r="F51" s="198">
        <v>0.330481065282616</v>
      </c>
      <c r="G51" s="198">
        <v>0.36215161644094329</v>
      </c>
      <c r="H51" s="198">
        <v>0.39275736777068987</v>
      </c>
      <c r="I51" s="198">
        <v>0.42245208747192597</v>
      </c>
    </row>
    <row r="52" spans="1:9">
      <c r="A52" s="584">
        <v>0.85</v>
      </c>
      <c r="B52" s="600" t="s">
        <v>1959</v>
      </c>
      <c r="C52" s="198">
        <v>0.25535555442021374</v>
      </c>
      <c r="D52" s="198">
        <v>0.29060456370657456</v>
      </c>
      <c r="E52" s="198">
        <v>0.32423010605297176</v>
      </c>
      <c r="F52" s="198">
        <v>0.35650699421824589</v>
      </c>
      <c r="G52" s="198">
        <v>0.38764836055744323</v>
      </c>
      <c r="H52" s="198">
        <v>0.41782255422568437</v>
      </c>
      <c r="I52" s="198">
        <v>0.44716466459442827</v>
      </c>
    </row>
    <row r="53" spans="1:9">
      <c r="A53" s="605">
        <v>0.9</v>
      </c>
      <c r="B53" s="606" t="s">
        <v>1960</v>
      </c>
      <c r="C53" s="198">
        <v>0.28179916424882323</v>
      </c>
      <c r="D53" s="198">
        <v>0.31622042674924128</v>
      </c>
      <c r="E53" s="198">
        <v>0.3491823231174816</v>
      </c>
      <c r="F53" s="601">
        <v>0.38092292466209343</v>
      </c>
      <c r="G53" s="198">
        <v>0.41162870525989398</v>
      </c>
      <c r="H53" s="198">
        <v>0.44144821761599307</v>
      </c>
      <c r="I53" s="198">
        <v>0.4705015526212411</v>
      </c>
    </row>
    <row r="54" spans="1:9">
      <c r="A54" s="584">
        <v>0.95</v>
      </c>
      <c r="B54" s="600" t="s">
        <v>1961</v>
      </c>
      <c r="C54" s="198">
        <v>0.30651643313474952</v>
      </c>
      <c r="D54" s="198">
        <v>0.34025177259130324</v>
      </c>
      <c r="E54" s="198">
        <v>0.37266228612480479</v>
      </c>
      <c r="F54" s="198">
        <v>0.40395695981030316</v>
      </c>
      <c r="G54" s="198">
        <v>0.43430090360997203</v>
      </c>
      <c r="H54" s="198">
        <v>0.46382663651521921</v>
      </c>
      <c r="I54" s="198">
        <v>0.49264198904757328</v>
      </c>
    </row>
    <row r="55" spans="1:9">
      <c r="A55" s="584">
        <v>1</v>
      </c>
      <c r="B55" s="600" t="s">
        <v>1962</v>
      </c>
      <c r="C55" s="198">
        <v>0.32976171806941307</v>
      </c>
      <c r="D55" s="198">
        <v>0.36292236016480245</v>
      </c>
      <c r="E55" s="198">
        <v>0.39487026794391283</v>
      </c>
      <c r="F55" s="198">
        <v>0.42579095575435461</v>
      </c>
      <c r="G55" s="198">
        <v>0.4558321069168435</v>
      </c>
      <c r="H55" s="198">
        <v>0.48511303931412558</v>
      </c>
      <c r="I55" s="198">
        <v>0.51373140651274773</v>
      </c>
    </row>
    <row r="57" spans="1:9">
      <c r="A57" s="193" t="s">
        <v>1967</v>
      </c>
      <c r="B57" s="416"/>
      <c r="C57" s="416"/>
      <c r="D57" s="416"/>
      <c r="E57" s="416"/>
      <c r="F57" s="416"/>
      <c r="G57" s="416"/>
      <c r="H57" s="416"/>
      <c r="I57" s="416"/>
    </row>
    <row r="58" spans="1:9">
      <c r="A58" s="451" t="s">
        <v>1963</v>
      </c>
      <c r="B58" s="415"/>
      <c r="C58" s="600" t="s">
        <v>1965</v>
      </c>
      <c r="D58" s="415"/>
      <c r="E58" s="415"/>
      <c r="F58" s="415"/>
      <c r="G58" s="415"/>
      <c r="H58" s="415"/>
      <c r="I58" s="415"/>
    </row>
    <row r="59" spans="1:9">
      <c r="A59" s="602" t="s">
        <v>1966</v>
      </c>
      <c r="B59" s="603"/>
      <c r="C59" s="609">
        <v>-0.03</v>
      </c>
      <c r="D59" s="609">
        <v>-0.02</v>
      </c>
      <c r="E59" s="609">
        <v>-0.01</v>
      </c>
      <c r="F59" s="609">
        <v>0</v>
      </c>
      <c r="G59" s="609">
        <v>0.01</v>
      </c>
      <c r="H59" s="609">
        <v>0.02</v>
      </c>
      <c r="I59" s="609">
        <v>0.03</v>
      </c>
    </row>
    <row r="60" spans="1:9">
      <c r="A60" s="584">
        <v>0.7</v>
      </c>
      <c r="B60" s="600" t="s">
        <v>1956</v>
      </c>
      <c r="C60" s="607">
        <v>5.3637618553641877</v>
      </c>
      <c r="D60" s="607">
        <v>6.8820349910185019</v>
      </c>
      <c r="E60" s="607">
        <v>8.5184203193955152</v>
      </c>
      <c r="F60" s="607">
        <v>10.281233152822598</v>
      </c>
      <c r="G60" s="607">
        <v>12.179294419557799</v>
      </c>
      <c r="H60" s="607">
        <v>14.221956251248466</v>
      </c>
      <c r="I60" s="607">
        <v>16.419128601133618</v>
      </c>
    </row>
    <row r="61" spans="1:9">
      <c r="A61" s="584">
        <v>0.75</v>
      </c>
      <c r="B61" s="600" t="s">
        <v>1957</v>
      </c>
      <c r="C61" s="607">
        <v>6.5984104401651864</v>
      </c>
      <c r="D61" s="607">
        <v>8.2230316296174699</v>
      </c>
      <c r="E61" s="607">
        <v>9.9741867295368856</v>
      </c>
      <c r="F61" s="607">
        <v>11.860785003131308</v>
      </c>
      <c r="G61" s="607">
        <v>13.892277444962955</v>
      </c>
      <c r="H61" s="607">
        <v>16.078684196082545</v>
      </c>
      <c r="I61" s="607">
        <v>18.430623063531883</v>
      </c>
    </row>
    <row r="62" spans="1:9">
      <c r="A62" s="584">
        <v>0.8</v>
      </c>
      <c r="B62" s="600" t="s">
        <v>1958</v>
      </c>
      <c r="C62" s="607">
        <v>7.8330590249661887</v>
      </c>
      <c r="D62" s="607">
        <v>9.5640282682164397</v>
      </c>
      <c r="E62" s="607">
        <v>11.429953139678251</v>
      </c>
      <c r="F62" s="607">
        <v>13.440336853440025</v>
      </c>
      <c r="G62" s="607">
        <v>15.60526047036811</v>
      </c>
      <c r="H62" s="607">
        <v>17.935412140916622</v>
      </c>
      <c r="I62" s="607">
        <v>20.442117525930151</v>
      </c>
    </row>
    <row r="63" spans="1:9">
      <c r="A63" s="584">
        <v>0.85</v>
      </c>
      <c r="B63" s="600" t="s">
        <v>1959</v>
      </c>
      <c r="C63" s="607">
        <v>9.0677076097671865</v>
      </c>
      <c r="D63" s="607">
        <v>10.905024906815409</v>
      </c>
      <c r="E63" s="607">
        <v>12.885719549819614</v>
      </c>
      <c r="F63" s="607">
        <v>15.019888703748732</v>
      </c>
      <c r="G63" s="607">
        <v>17.318243495773263</v>
      </c>
      <c r="H63" s="607">
        <v>19.792140085750695</v>
      </c>
      <c r="I63" s="607">
        <v>22.453611988328408</v>
      </c>
    </row>
    <row r="64" spans="1:9">
      <c r="A64" s="605">
        <v>0.9</v>
      </c>
      <c r="B64" s="606" t="s">
        <v>1960</v>
      </c>
      <c r="C64" s="607">
        <v>10.302356194568182</v>
      </c>
      <c r="D64" s="607">
        <v>12.246021545414381</v>
      </c>
      <c r="E64" s="607">
        <v>14.341485959960977</v>
      </c>
      <c r="F64" s="608">
        <v>16.599440554057445</v>
      </c>
      <c r="G64" s="607">
        <v>19.031226521178418</v>
      </c>
      <c r="H64" s="607">
        <v>21.648868030584769</v>
      </c>
      <c r="I64" s="607">
        <v>24.465106450726672</v>
      </c>
    </row>
    <row r="65" spans="1:9">
      <c r="A65" s="584">
        <v>0.95</v>
      </c>
      <c r="B65" s="600" t="s">
        <v>1961</v>
      </c>
      <c r="C65" s="607">
        <v>11.537004779369182</v>
      </c>
      <c r="D65" s="607">
        <v>13.587018184013347</v>
      </c>
      <c r="E65" s="607">
        <v>15.797252370102346</v>
      </c>
      <c r="F65" s="607">
        <v>18.178992404366156</v>
      </c>
      <c r="G65" s="607">
        <v>20.744209546583569</v>
      </c>
      <c r="H65" s="607">
        <v>23.505595975418846</v>
      </c>
      <c r="I65" s="607">
        <v>26.476600913124937</v>
      </c>
    </row>
    <row r="66" spans="1:9">
      <c r="A66" s="584">
        <v>1</v>
      </c>
      <c r="B66" s="600" t="s">
        <v>1962</v>
      </c>
      <c r="C66" s="607">
        <v>12.771653364170181</v>
      </c>
      <c r="D66" s="607">
        <v>14.928014822612319</v>
      </c>
      <c r="E66" s="607">
        <v>17.25301878024371</v>
      </c>
      <c r="F66" s="607">
        <v>19.758544254674867</v>
      </c>
      <c r="G66" s="607">
        <v>22.457192571988728</v>
      </c>
      <c r="H66" s="607">
        <v>25.362323920252919</v>
      </c>
      <c r="I66" s="607">
        <v>28.488095375523201</v>
      </c>
    </row>
    <row r="68" spans="1:9">
      <c r="A68" s="600" t="s">
        <v>1968</v>
      </c>
    </row>
  </sheetData>
  <conditionalFormatting sqref="C49:I55">
    <cfRule type="cellIs" dxfId="13" priority="3" operator="lessThan">
      <formula>0.2</formula>
    </cfRule>
  </conditionalFormatting>
  <conditionalFormatting sqref="C49:I55">
    <cfRule type="cellIs" dxfId="12" priority="4" operator="greaterThanOrEqual">
      <formula>0.3</formula>
    </cfRule>
  </conditionalFormatting>
  <conditionalFormatting sqref="C60:I66">
    <cfRule type="cellIs" dxfId="11" priority="5" operator="lessThan">
      <formula>5</formula>
    </cfRule>
  </conditionalFormatting>
  <conditionalFormatting sqref="C60:I66">
    <cfRule type="cellIs" dxfId="10" priority="6" operator="greaterThanOrEqual">
      <formula>10</formula>
    </cfRule>
  </conditionalFormatting>
  <conditionalFormatting sqref="C36:I42">
    <cfRule type="cellIs" dxfId="1" priority="7" operator="lessThan">
      <formula>0</formula>
    </cfRule>
  </conditionalFormatting>
  <conditionalFormatting sqref="C36:I42">
    <cfRule type="cellIs" dxfId="0" priority="8" operator="greaterThanOrEqual">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F46AE-8DC8-4649-9AEC-245F4361CD2D}">
  <sheetPr>
    <tabColor theme="4" tint="0.499984740745262"/>
  </sheetPr>
  <dimension ref="A1:L46"/>
  <sheetViews>
    <sheetView zoomScale="130" zoomScaleNormal="130" workbookViewId="0">
      <selection activeCell="B21" sqref="B21"/>
    </sheetView>
  </sheetViews>
  <sheetFormatPr defaultRowHeight="15"/>
  <cols>
    <col min="1" max="1" width="30" customWidth="1"/>
    <col min="2" max="11" width="15.875" customWidth="1"/>
    <col min="12" max="12" width="15.875" style="419" customWidth="1"/>
  </cols>
  <sheetData>
    <row r="1" spans="1:12" ht="18" customHeight="1">
      <c r="A1" s="182" t="s">
        <v>712</v>
      </c>
      <c r="B1" s="182"/>
      <c r="C1" s="182"/>
      <c r="D1" s="182"/>
      <c r="E1" s="182"/>
      <c r="F1" s="182"/>
      <c r="G1" s="182"/>
      <c r="H1" s="182"/>
      <c r="I1" s="182"/>
      <c r="J1" s="182"/>
      <c r="K1" s="182"/>
      <c r="L1" s="182"/>
    </row>
    <row r="2" spans="1:12" ht="14.1" customHeight="1">
      <c r="A2" s="186" t="s">
        <v>1802</v>
      </c>
      <c r="B2" s="190"/>
      <c r="C2" s="190"/>
      <c r="D2" s="190"/>
      <c r="E2" s="190"/>
      <c r="F2" s="190"/>
      <c r="G2" s="190"/>
      <c r="H2" s="190"/>
      <c r="I2" s="190"/>
      <c r="J2" s="190"/>
      <c r="K2" s="190"/>
      <c r="L2" s="191"/>
    </row>
    <row r="3" spans="1:12" ht="14.1" customHeight="1">
      <c r="A3" s="189" t="s">
        <v>713</v>
      </c>
      <c r="B3" s="189"/>
      <c r="C3" s="189"/>
      <c r="D3" s="189"/>
      <c r="E3" s="189"/>
      <c r="F3" s="189"/>
      <c r="G3" s="189"/>
      <c r="H3" s="189"/>
      <c r="I3" s="189"/>
      <c r="J3" s="189"/>
      <c r="K3" s="189"/>
      <c r="L3" s="189"/>
    </row>
    <row r="4" spans="1:12" ht="14.1" customHeight="1">
      <c r="A4" s="190" t="s">
        <v>645</v>
      </c>
      <c r="B4" s="219">
        <f>Assumptions!B74</f>
        <v>3884047346.6308756</v>
      </c>
      <c r="C4" s="192" t="s">
        <v>643</v>
      </c>
      <c r="D4" s="190"/>
      <c r="E4" s="190"/>
      <c r="F4" s="190"/>
      <c r="G4" s="190"/>
      <c r="H4" s="190"/>
      <c r="I4" s="190"/>
      <c r="J4" s="190"/>
      <c r="K4" s="190"/>
      <c r="L4" s="191"/>
    </row>
    <row r="5" spans="1:12" ht="14.1" customHeight="1">
      <c r="A5" s="190" t="s">
        <v>669</v>
      </c>
      <c r="B5" s="219">
        <f>Assumptions!B73</f>
        <v>812047346.63087571</v>
      </c>
      <c r="C5" s="192" t="s">
        <v>643</v>
      </c>
      <c r="D5" s="190"/>
      <c r="E5" s="190"/>
      <c r="F5" s="190"/>
      <c r="G5" s="190"/>
      <c r="H5" s="190"/>
      <c r="I5" s="190"/>
      <c r="J5" s="190"/>
      <c r="K5" s="190"/>
      <c r="L5" s="191"/>
    </row>
    <row r="6" spans="1:12" ht="14.1" customHeight="1">
      <c r="A6" s="190" t="s">
        <v>670</v>
      </c>
      <c r="B6" s="219">
        <f>Assumptions!B72</f>
        <v>3072000000</v>
      </c>
      <c r="C6" s="192" t="s">
        <v>643</v>
      </c>
      <c r="D6" s="190"/>
      <c r="E6" s="190"/>
      <c r="F6" s="190"/>
      <c r="G6" s="190"/>
      <c r="H6" s="190"/>
      <c r="I6" s="190"/>
      <c r="J6" s="190"/>
      <c r="K6" s="190"/>
      <c r="L6" s="191"/>
    </row>
    <row r="7" spans="1:12" ht="14.1" customHeight="1">
      <c r="A7" s="190"/>
      <c r="B7" s="190"/>
      <c r="C7" s="190"/>
      <c r="D7" s="190"/>
      <c r="E7" s="190"/>
      <c r="F7" s="190"/>
      <c r="G7" s="190"/>
      <c r="H7" s="190"/>
      <c r="I7" s="190"/>
      <c r="J7" s="190"/>
      <c r="K7" s="190"/>
      <c r="L7" s="191"/>
    </row>
    <row r="8" spans="1:12" ht="14.1" customHeight="1">
      <c r="A8" s="189" t="s">
        <v>714</v>
      </c>
      <c r="B8" s="189"/>
      <c r="C8" s="189"/>
      <c r="D8" s="189"/>
      <c r="E8" s="189"/>
      <c r="F8" s="189"/>
      <c r="G8" s="189"/>
      <c r="H8" s="189"/>
      <c r="I8" s="189"/>
      <c r="J8" s="189"/>
      <c r="K8" s="189"/>
      <c r="L8" s="189"/>
    </row>
    <row r="9" spans="1:12" s="464" customFormat="1" ht="14.1" customHeight="1">
      <c r="A9" s="262" t="s">
        <v>576</v>
      </c>
      <c r="B9" s="368">
        <v>0</v>
      </c>
      <c r="C9" s="470">
        <v>1</v>
      </c>
      <c r="D9" s="470">
        <v>2</v>
      </c>
      <c r="E9" s="470">
        <v>3</v>
      </c>
      <c r="F9" s="470">
        <v>4</v>
      </c>
      <c r="G9" s="470">
        <v>5</v>
      </c>
      <c r="H9" s="470">
        <v>6</v>
      </c>
      <c r="I9" s="470">
        <v>7</v>
      </c>
      <c r="J9" s="470">
        <v>8</v>
      </c>
      <c r="K9" s="470">
        <v>9</v>
      </c>
      <c r="L9" s="470" t="s">
        <v>715</v>
      </c>
    </row>
    <row r="10" spans="1:12" s="464" customFormat="1" ht="14.1" customHeight="1">
      <c r="A10" s="262" t="s">
        <v>648</v>
      </c>
      <c r="B10" s="470">
        <v>2026</v>
      </c>
      <c r="C10" s="470">
        <v>2027</v>
      </c>
      <c r="D10" s="470">
        <v>2028</v>
      </c>
      <c r="E10" s="470">
        <v>2029</v>
      </c>
      <c r="F10" s="470">
        <v>2030</v>
      </c>
      <c r="G10" s="470">
        <v>2031</v>
      </c>
      <c r="H10" s="470">
        <v>2032</v>
      </c>
      <c r="I10" s="470">
        <v>2033</v>
      </c>
      <c r="J10" s="470">
        <v>2034</v>
      </c>
      <c r="K10" s="470">
        <v>2035</v>
      </c>
      <c r="L10" s="470"/>
    </row>
    <row r="11" spans="1:12" ht="14.1" customHeight="1">
      <c r="A11" s="190" t="s">
        <v>655</v>
      </c>
      <c r="B11" s="219">
        <f>'DCF Analysis'!B30</f>
        <v>-3675209671.2328768</v>
      </c>
      <c r="C11" s="219">
        <f>'DCF Analysis'!C30</f>
        <v>517066209.4246574</v>
      </c>
      <c r="D11" s="219">
        <f>'DCF Analysis'!D30</f>
        <v>538584900.51371241</v>
      </c>
      <c r="E11" s="219">
        <f>'DCF Analysis'!E30</f>
        <v>570890345.56026173</v>
      </c>
      <c r="F11" s="219">
        <f>'DCF Analysis'!F30</f>
        <v>362293288.37639403</v>
      </c>
      <c r="G11" s="219">
        <f>'DCF Analysis'!G30</f>
        <v>161974052.01675573</v>
      </c>
      <c r="H11" s="219">
        <f>'DCF Analysis'!H30</f>
        <v>568510536.50682569</v>
      </c>
      <c r="I11" s="219">
        <f>'DCF Analysis'!I30</f>
        <v>542848149.43901205</v>
      </c>
      <c r="J11" s="219">
        <f>'DCF Analysis'!J30</f>
        <v>531243869.13541549</v>
      </c>
      <c r="K11" s="219">
        <f>'DCF Analysis'!K30+'DCF Analysis'!B63</f>
        <v>10038027728.289629</v>
      </c>
      <c r="L11" s="418">
        <f>SUM(B11:K11)</f>
        <v>10156229408.029787</v>
      </c>
    </row>
    <row r="12" spans="1:12" ht="14.1" customHeight="1">
      <c r="A12" s="190" t="s">
        <v>681</v>
      </c>
      <c r="B12" s="219">
        <f>'IRR Analysis'!B26</f>
        <v>-603209671.23287678</v>
      </c>
      <c r="C12" s="219">
        <f>'IRR Analysis'!C26</f>
        <v>26433676.091324091</v>
      </c>
      <c r="D12" s="219">
        <f>'IRR Analysis'!D26</f>
        <v>64541167.180379122</v>
      </c>
      <c r="E12" s="219">
        <f>'IRR Analysis'!E26</f>
        <v>113435412.22692844</v>
      </c>
      <c r="F12" s="219">
        <f>'IRR Analysis'!F26</f>
        <v>-78572844.956939265</v>
      </c>
      <c r="G12" s="219">
        <f>'IRR Analysis'!G26</f>
        <v>-262303281.31657755</v>
      </c>
      <c r="H12" s="219">
        <f>'IRR Analysis'!H26</f>
        <v>160822003.17349237</v>
      </c>
      <c r="I12" s="219">
        <f>'IRR Analysis'!I26</f>
        <v>151748416.10567874</v>
      </c>
      <c r="J12" s="219">
        <f>'IRR Analysis'!J26</f>
        <v>156732935.80208218</v>
      </c>
      <c r="K12" s="219">
        <f>'IRR Analysis'!K26</f>
        <v>9680105594.956295</v>
      </c>
      <c r="L12" s="418">
        <f>SUM(B12:K12)</f>
        <v>9409733408.0297871</v>
      </c>
    </row>
    <row r="13" spans="1:12" ht="14.1" customHeight="1">
      <c r="A13" s="190" t="s">
        <v>716</v>
      </c>
      <c r="B13" s="218">
        <f>B11</f>
        <v>-3675209671.2328768</v>
      </c>
      <c r="C13" s="218">
        <f t="shared" ref="C13:G14" si="0">B13+C11</f>
        <v>-3158143461.8082194</v>
      </c>
      <c r="D13" s="218">
        <f t="shared" si="0"/>
        <v>-2619558561.294507</v>
      </c>
      <c r="E13" s="218">
        <f t="shared" si="0"/>
        <v>-2048668215.7342453</v>
      </c>
      <c r="F13" s="218">
        <f t="shared" si="0"/>
        <v>-1686374927.3578513</v>
      </c>
      <c r="G13" s="218">
        <f t="shared" si="0"/>
        <v>-1524400875.3410954</v>
      </c>
      <c r="H13" s="218">
        <f>G13+H11</f>
        <v>-955890338.83426976</v>
      </c>
      <c r="I13" s="218">
        <f>H13+I11</f>
        <v>-413042189.39525771</v>
      </c>
      <c r="J13" s="218">
        <f>I13+J11</f>
        <v>118201679.74015778</v>
      </c>
      <c r="K13" s="218">
        <f>J13+K11</f>
        <v>10156229408.029787</v>
      </c>
      <c r="L13" s="231"/>
    </row>
    <row r="14" spans="1:12" ht="14.1" customHeight="1">
      <c r="A14" s="190" t="s">
        <v>717</v>
      </c>
      <c r="B14" s="220">
        <f>B12</f>
        <v>-603209671.23287678</v>
      </c>
      <c r="C14" s="220">
        <f t="shared" si="0"/>
        <v>-576775995.14155269</v>
      </c>
      <c r="D14" s="220">
        <f t="shared" si="0"/>
        <v>-512234827.96117353</v>
      </c>
      <c r="E14" s="220">
        <f t="shared" si="0"/>
        <v>-398799415.73424506</v>
      </c>
      <c r="F14" s="220">
        <f t="shared" si="0"/>
        <v>-477372260.69118434</v>
      </c>
      <c r="G14" s="220">
        <f t="shared" si="0"/>
        <v>-739675542.00776196</v>
      </c>
      <c r="H14" s="220">
        <f>G14+H12</f>
        <v>-578853538.83426952</v>
      </c>
      <c r="I14" s="220">
        <f>H14+I12</f>
        <v>-427105122.72859079</v>
      </c>
      <c r="J14" s="220">
        <f>I14+J12</f>
        <v>-270372186.92650861</v>
      </c>
      <c r="K14" s="220">
        <f>J14+K12</f>
        <v>9409733408.0297871</v>
      </c>
      <c r="L14" s="221"/>
    </row>
    <row r="15" spans="1:12" ht="14.1" customHeight="1">
      <c r="A15" s="190"/>
      <c r="B15" s="190"/>
      <c r="C15" s="190"/>
      <c r="D15" s="190"/>
      <c r="E15" s="190"/>
      <c r="F15" s="190"/>
      <c r="G15" s="190"/>
      <c r="H15" s="190"/>
      <c r="I15" s="190"/>
      <c r="J15" s="190"/>
      <c r="K15" s="190"/>
      <c r="L15" s="191"/>
    </row>
    <row r="16" spans="1:12" ht="14.1" customHeight="1">
      <c r="A16" s="189" t="s">
        <v>718</v>
      </c>
      <c r="B16" s="189"/>
      <c r="C16" s="189"/>
      <c r="D16" s="189"/>
      <c r="E16" s="189"/>
      <c r="F16" s="189"/>
      <c r="G16" s="189"/>
      <c r="H16" s="189"/>
      <c r="I16" s="189"/>
      <c r="J16" s="189"/>
      <c r="K16" s="189"/>
      <c r="L16" s="189"/>
    </row>
    <row r="17" spans="1:12" ht="14.1" customHeight="1">
      <c r="A17" s="190"/>
      <c r="B17" s="190"/>
      <c r="C17" s="190"/>
      <c r="D17" s="190"/>
      <c r="E17" s="190"/>
      <c r="F17" s="190"/>
      <c r="G17" s="190"/>
      <c r="H17" s="190"/>
      <c r="I17" s="190"/>
      <c r="J17" s="190"/>
      <c r="K17" s="190"/>
      <c r="L17" s="191"/>
    </row>
    <row r="18" spans="1:12" ht="14.1" customHeight="1">
      <c r="A18" s="190" t="s">
        <v>719</v>
      </c>
      <c r="B18" s="190"/>
      <c r="C18" s="190"/>
      <c r="D18" s="190"/>
      <c r="E18" s="190"/>
      <c r="F18" s="190"/>
      <c r="G18" s="190"/>
      <c r="H18" s="190"/>
      <c r="I18" s="190"/>
      <c r="J18" s="190"/>
      <c r="K18" s="190"/>
      <c r="L18" s="191"/>
    </row>
    <row r="19" spans="1:12" ht="14.1" customHeight="1">
      <c r="A19" s="190" t="s">
        <v>720</v>
      </c>
      <c r="B19" s="218">
        <f>-B11</f>
        <v>3675209671.2328768</v>
      </c>
      <c r="C19" s="190" t="s">
        <v>643</v>
      </c>
      <c r="D19" s="190"/>
      <c r="E19" s="190"/>
      <c r="F19" s="190"/>
      <c r="G19" s="190"/>
      <c r="H19" s="190"/>
      <c r="I19" s="190"/>
      <c r="J19" s="190"/>
      <c r="K19" s="190"/>
      <c r="L19" s="191"/>
    </row>
    <row r="20" spans="1:12" ht="14.1" customHeight="1">
      <c r="A20" s="190" t="s">
        <v>721</v>
      </c>
      <c r="B20" s="218">
        <f>SUM(C11:K11)</f>
        <v>13831439079.262665</v>
      </c>
      <c r="C20" s="190" t="s">
        <v>643</v>
      </c>
      <c r="D20" s="190"/>
      <c r="E20" s="190"/>
      <c r="F20" s="190"/>
      <c r="G20" s="190"/>
      <c r="H20" s="190"/>
      <c r="I20" s="190"/>
      <c r="J20" s="190"/>
      <c r="K20" s="190"/>
      <c r="L20" s="191"/>
    </row>
    <row r="21" spans="1:12" ht="14.1" customHeight="1">
      <c r="A21" s="190" t="s">
        <v>722</v>
      </c>
      <c r="B21" s="240">
        <f>B20/B19</f>
        <v>3.7634421751569902</v>
      </c>
      <c r="C21" s="478" t="s">
        <v>723</v>
      </c>
      <c r="D21" s="190"/>
      <c r="E21" s="190"/>
      <c r="F21" s="190"/>
      <c r="G21" s="190"/>
      <c r="H21" s="190"/>
      <c r="I21" s="190"/>
      <c r="J21" s="190"/>
      <c r="K21" s="190"/>
      <c r="L21" s="191"/>
    </row>
    <row r="22" spans="1:12" ht="14.1" customHeight="1">
      <c r="A22" s="190"/>
      <c r="B22" s="190"/>
      <c r="C22" s="190"/>
      <c r="D22" s="190"/>
      <c r="E22" s="190"/>
      <c r="F22" s="190"/>
      <c r="G22" s="190"/>
      <c r="H22" s="190"/>
      <c r="I22" s="190"/>
      <c r="J22" s="190"/>
      <c r="K22" s="190"/>
      <c r="L22" s="191"/>
    </row>
    <row r="23" spans="1:12" ht="14.1" customHeight="1">
      <c r="A23" s="190" t="s">
        <v>724</v>
      </c>
      <c r="B23" s="190"/>
      <c r="C23" s="190"/>
      <c r="D23" s="190"/>
      <c r="E23" s="190"/>
      <c r="F23" s="190"/>
      <c r="G23" s="190"/>
      <c r="H23" s="190"/>
      <c r="I23" s="190"/>
      <c r="J23" s="190"/>
      <c r="K23" s="190"/>
      <c r="L23" s="191"/>
    </row>
    <row r="24" spans="1:12" ht="14.1" customHeight="1">
      <c r="A24" s="190" t="s">
        <v>669</v>
      </c>
      <c r="B24" s="218">
        <f>-B12</f>
        <v>603209671.23287678</v>
      </c>
      <c r="C24" s="190" t="s">
        <v>643</v>
      </c>
      <c r="D24" s="190"/>
      <c r="E24" s="190"/>
      <c r="F24" s="190"/>
      <c r="G24" s="190"/>
      <c r="H24" s="190"/>
      <c r="I24" s="190"/>
      <c r="J24" s="190"/>
      <c r="K24" s="190"/>
      <c r="L24" s="191"/>
    </row>
    <row r="25" spans="1:12" ht="14.1" customHeight="1">
      <c r="A25" s="190" t="s">
        <v>725</v>
      </c>
      <c r="B25" s="218">
        <f>SUM(C12:K12)</f>
        <v>10012943079.262663</v>
      </c>
      <c r="C25" s="190" t="s">
        <v>643</v>
      </c>
      <c r="D25" s="190"/>
      <c r="E25" s="190"/>
      <c r="F25" s="190"/>
      <c r="G25" s="190"/>
      <c r="H25" s="190"/>
      <c r="I25" s="190"/>
      <c r="J25" s="190"/>
      <c r="K25" s="190"/>
      <c r="L25" s="191"/>
    </row>
    <row r="26" spans="1:12" ht="14.1" customHeight="1">
      <c r="A26" s="190" t="s">
        <v>726</v>
      </c>
      <c r="B26" s="240">
        <f>B25/B24</f>
        <v>16.599440554057427</v>
      </c>
      <c r="C26" s="478" t="s">
        <v>727</v>
      </c>
      <c r="D26" s="190"/>
      <c r="E26" s="190"/>
      <c r="F26" s="190"/>
      <c r="G26" s="190"/>
      <c r="H26" s="190"/>
      <c r="I26" s="190"/>
      <c r="J26" s="190"/>
      <c r="K26" s="190"/>
      <c r="L26" s="191"/>
    </row>
    <row r="27" spans="1:12" ht="14.1" customHeight="1">
      <c r="A27" s="190"/>
      <c r="B27" s="190"/>
      <c r="C27" s="190"/>
      <c r="D27" s="190"/>
      <c r="E27" s="190"/>
      <c r="F27" s="190"/>
      <c r="G27" s="190"/>
      <c r="H27" s="190"/>
      <c r="I27" s="190"/>
      <c r="J27" s="190"/>
      <c r="K27" s="190"/>
      <c r="L27" s="191"/>
    </row>
    <row r="28" spans="1:12" ht="14.1" customHeight="1">
      <c r="A28" s="189" t="s">
        <v>728</v>
      </c>
      <c r="B28" s="189"/>
      <c r="C28" s="189"/>
      <c r="D28" s="189"/>
      <c r="E28" s="189"/>
      <c r="F28" s="189"/>
      <c r="G28" s="189"/>
      <c r="H28" s="189"/>
      <c r="I28" s="189"/>
      <c r="J28" s="189"/>
      <c r="K28" s="189"/>
      <c r="L28" s="189"/>
    </row>
    <row r="29" spans="1:12" ht="14.1" customHeight="1">
      <c r="A29" s="190"/>
      <c r="B29" s="190"/>
      <c r="C29" s="190"/>
      <c r="D29" s="190"/>
      <c r="E29" s="190"/>
      <c r="F29" s="190"/>
      <c r="G29" s="190"/>
      <c r="H29" s="190"/>
      <c r="I29" s="190"/>
      <c r="J29" s="190"/>
      <c r="K29" s="190"/>
      <c r="L29" s="191"/>
    </row>
    <row r="30" spans="1:12" s="464" customFormat="1" ht="14.1" customHeight="1">
      <c r="A30" s="262" t="s">
        <v>576</v>
      </c>
      <c r="B30" s="368">
        <v>1</v>
      </c>
      <c r="C30" s="470">
        <v>2</v>
      </c>
      <c r="D30" s="470">
        <v>3</v>
      </c>
      <c r="E30" s="470">
        <v>4</v>
      </c>
      <c r="F30" s="470">
        <v>5</v>
      </c>
      <c r="G30" s="470">
        <v>6</v>
      </c>
      <c r="H30" s="470">
        <v>7</v>
      </c>
      <c r="I30" s="470">
        <v>8</v>
      </c>
      <c r="J30" s="470">
        <v>9</v>
      </c>
      <c r="K30" s="470" t="s">
        <v>729</v>
      </c>
      <c r="L30" s="470"/>
    </row>
    <row r="31" spans="1:12" ht="14.1" customHeight="1">
      <c r="A31" s="190" t="s">
        <v>730</v>
      </c>
      <c r="B31" s="219">
        <f>C12</f>
        <v>26433676.091324091</v>
      </c>
      <c r="C31" s="219">
        <f>D12</f>
        <v>64541167.180379122</v>
      </c>
      <c r="D31" s="219">
        <f>E12</f>
        <v>113435412.22692844</v>
      </c>
      <c r="E31" s="219">
        <f>F12</f>
        <v>-78572844.956939265</v>
      </c>
      <c r="F31" s="219">
        <f>G12</f>
        <v>-262303281.31657755</v>
      </c>
      <c r="G31" s="219">
        <f>H12</f>
        <v>160822003.17349237</v>
      </c>
      <c r="H31" s="219">
        <f>I12</f>
        <v>151748416.10567874</v>
      </c>
      <c r="I31" s="219">
        <f>J12</f>
        <v>156732935.80208218</v>
      </c>
      <c r="J31" s="219">
        <f>K12</f>
        <v>9680105594.956295</v>
      </c>
      <c r="K31" s="190">
        <f>AVERAGE(B31:J31)</f>
        <v>1112549231.0291848</v>
      </c>
      <c r="L31" s="191"/>
    </row>
    <row r="32" spans="1:12" ht="14.1" customHeight="1">
      <c r="A32" s="190" t="s">
        <v>731</v>
      </c>
      <c r="B32" s="211">
        <f>B31/$B$5</f>
        <v>3.2551890232749917E-2</v>
      </c>
      <c r="C32" s="211">
        <f>C31/$B$5</f>
        <v>7.9479561688312439E-2</v>
      </c>
      <c r="D32" s="211">
        <f>D31/$B$5</f>
        <v>0.13969063835694256</v>
      </c>
      <c r="E32" s="211">
        <f>E31/$B$5</f>
        <v>-9.6758945501062441E-2</v>
      </c>
      <c r="F32" s="211">
        <f>F31/$B$5</f>
        <v>-0.32301476312293176</v>
      </c>
      <c r="G32" s="211">
        <f>G31/$B$5</f>
        <v>0.19804510641002762</v>
      </c>
      <c r="H32" s="211">
        <f>H31/$B$5</f>
        <v>0.18687138962435093</v>
      </c>
      <c r="I32" s="211">
        <f>I31/$B$5</f>
        <v>0.19300960276805967</v>
      </c>
      <c r="J32" s="211">
        <f>J31/$B$5</f>
        <v>11.920617233857529</v>
      </c>
      <c r="K32" s="211">
        <f>AVERAGE(B32:J32)</f>
        <v>1.3700546349237752</v>
      </c>
      <c r="L32" s="191"/>
    </row>
    <row r="33" spans="1:12" ht="14.1" customHeight="1">
      <c r="A33" s="190"/>
      <c r="B33" s="225"/>
      <c r="C33" s="225"/>
      <c r="D33" s="225"/>
      <c r="E33" s="225"/>
      <c r="F33" s="225"/>
      <c r="G33" s="225"/>
      <c r="H33" s="225"/>
      <c r="I33" s="225"/>
      <c r="J33" s="225"/>
      <c r="K33" s="225"/>
      <c r="L33" s="232"/>
    </row>
    <row r="34" spans="1:12" ht="14.1" customHeight="1">
      <c r="A34" s="189" t="s">
        <v>732</v>
      </c>
      <c r="B34" s="189"/>
      <c r="C34" s="189"/>
      <c r="D34" s="189"/>
      <c r="E34" s="189"/>
      <c r="F34" s="189"/>
      <c r="G34" s="189"/>
      <c r="H34" s="189"/>
      <c r="I34" s="189"/>
      <c r="J34" s="189"/>
      <c r="K34" s="189"/>
      <c r="L34" s="189"/>
    </row>
    <row r="35" spans="1:12" ht="14.1" customHeight="1">
      <c r="A35" s="190"/>
      <c r="B35" s="190"/>
      <c r="C35" s="190"/>
      <c r="D35" s="190"/>
      <c r="E35" s="190"/>
      <c r="F35" s="190"/>
      <c r="G35" s="190"/>
      <c r="H35" s="190"/>
      <c r="I35" s="190"/>
      <c r="J35" s="190"/>
      <c r="K35" s="190"/>
      <c r="L35" s="191"/>
    </row>
    <row r="36" spans="1:12" ht="14.1" customHeight="1">
      <c r="A36" s="203" t="s">
        <v>733</v>
      </c>
      <c r="B36" s="190"/>
      <c r="C36" s="190"/>
      <c r="D36" s="190"/>
      <c r="E36" s="190"/>
      <c r="F36" s="190"/>
      <c r="G36" s="190"/>
      <c r="H36" s="190"/>
      <c r="I36" s="190"/>
      <c r="J36" s="190"/>
      <c r="K36" s="190"/>
      <c r="L36" s="191"/>
    </row>
    <row r="37" spans="1:12" ht="14.1" customHeight="1">
      <c r="A37" s="190" t="s">
        <v>734</v>
      </c>
      <c r="B37" s="219">
        <f>-B11</f>
        <v>3675209671.2328768</v>
      </c>
      <c r="C37" s="190" t="s">
        <v>643</v>
      </c>
      <c r="D37" s="190"/>
      <c r="E37" s="190"/>
      <c r="F37" s="190"/>
      <c r="G37" s="190"/>
      <c r="H37" s="190"/>
      <c r="I37" s="190"/>
      <c r="J37" s="190"/>
      <c r="K37" s="190"/>
      <c r="L37" s="191"/>
    </row>
    <row r="38" spans="1:12" ht="14.1" customHeight="1">
      <c r="A38" s="190" t="s">
        <v>1804</v>
      </c>
      <c r="B38" s="219">
        <f>K13</f>
        <v>10156229408.029787</v>
      </c>
      <c r="C38" s="190" t="s">
        <v>643</v>
      </c>
      <c r="D38" s="190"/>
      <c r="E38" s="190"/>
      <c r="F38" s="190"/>
      <c r="G38" s="190"/>
      <c r="H38" s="190"/>
      <c r="I38" s="190"/>
      <c r="J38" s="190"/>
      <c r="K38" s="190"/>
      <c r="L38" s="191"/>
    </row>
    <row r="39" spans="1:12" ht="14.1" customHeight="1">
      <c r="A39" s="190" t="s">
        <v>735</v>
      </c>
      <c r="B39" s="479" t="str">
        <f>IF(K13&gt;=0,"Recovered","Not Recovered in 9 years")</f>
        <v>Recovered</v>
      </c>
      <c r="C39" s="190"/>
      <c r="D39" s="190"/>
      <c r="E39" s="190"/>
      <c r="F39" s="190"/>
      <c r="G39" s="190"/>
      <c r="H39" s="190"/>
      <c r="I39" s="190"/>
      <c r="J39" s="190"/>
      <c r="K39" s="190"/>
      <c r="L39" s="191"/>
    </row>
    <row r="40" spans="1:12" ht="14.1" customHeight="1">
      <c r="A40" s="190" t="s">
        <v>736</v>
      </c>
      <c r="B40" s="239">
        <f>IF(K13&gt;=0,IF(J13&lt;0,9+(-J13/K11),IF(I13&lt;0,8+(-I13/J11),IF(H13&lt;0,7+(-H13/I11),IF(G13&lt;0,6+(-G13/H11),IF(F13&lt;0,5+(-F13/G11),"&lt;5 years"))))),"&gt;9 years")</f>
        <v>8.777500152740533</v>
      </c>
      <c r="C40" s="190" t="s">
        <v>737</v>
      </c>
      <c r="D40" s="190"/>
      <c r="E40" s="190"/>
      <c r="F40" s="190"/>
      <c r="G40" s="190"/>
      <c r="H40" s="190"/>
      <c r="I40" s="190"/>
      <c r="J40" s="190"/>
      <c r="K40" s="190"/>
      <c r="L40" s="191"/>
    </row>
    <row r="41" spans="1:12" ht="14.1" customHeight="1">
      <c r="A41" s="190"/>
      <c r="B41" s="190"/>
      <c r="C41" s="190"/>
      <c r="D41" s="190"/>
      <c r="E41" s="190"/>
      <c r="F41" s="190"/>
      <c r="G41" s="190"/>
      <c r="H41" s="190"/>
      <c r="I41" s="190"/>
      <c r="J41" s="190"/>
      <c r="K41" s="190"/>
      <c r="L41" s="191"/>
    </row>
    <row r="42" spans="1:12" ht="14.1" customHeight="1">
      <c r="A42" s="203" t="s">
        <v>738</v>
      </c>
      <c r="B42" s="190"/>
      <c r="C42" s="190"/>
      <c r="D42" s="190"/>
      <c r="E42" s="190"/>
      <c r="F42" s="190"/>
      <c r="G42" s="190"/>
      <c r="H42" s="190"/>
      <c r="I42" s="190"/>
      <c r="J42" s="190"/>
      <c r="K42" s="190"/>
      <c r="L42" s="191"/>
    </row>
    <row r="43" spans="1:12" ht="14.1" customHeight="1">
      <c r="A43" s="190" t="s">
        <v>669</v>
      </c>
      <c r="B43" s="219">
        <f>$B$5</f>
        <v>812047346.63087571</v>
      </c>
      <c r="C43" s="190" t="s">
        <v>643</v>
      </c>
      <c r="D43" s="190"/>
      <c r="E43" s="190"/>
      <c r="F43" s="190"/>
      <c r="G43" s="190"/>
      <c r="H43" s="190"/>
      <c r="I43" s="190"/>
      <c r="J43" s="190"/>
      <c r="K43" s="190"/>
      <c r="L43" s="191"/>
    </row>
    <row r="44" spans="1:12" ht="14.1" customHeight="1">
      <c r="A44" s="190" t="s">
        <v>1805</v>
      </c>
      <c r="B44" s="219">
        <f>K14</f>
        <v>9409733408.0297871</v>
      </c>
      <c r="C44" s="190" t="s">
        <v>643</v>
      </c>
      <c r="D44" s="190"/>
      <c r="E44" s="190"/>
      <c r="F44" s="190"/>
      <c r="G44" s="190"/>
      <c r="H44" s="190"/>
      <c r="I44" s="190"/>
      <c r="J44" s="190"/>
      <c r="K44" s="190"/>
      <c r="L44" s="191"/>
    </row>
    <row r="45" spans="1:12" ht="14.1" customHeight="1">
      <c r="A45" s="190" t="s">
        <v>735</v>
      </c>
      <c r="B45" s="479" t="str">
        <f>IF(K14&gt;=0,"Recovered","Not Recovered in 9 years")</f>
        <v>Recovered</v>
      </c>
      <c r="C45" s="190"/>
      <c r="D45" s="190"/>
      <c r="E45" s="190"/>
      <c r="F45" s="190"/>
      <c r="G45" s="190"/>
      <c r="H45" s="190"/>
      <c r="I45" s="190"/>
      <c r="J45" s="190"/>
      <c r="K45" s="190"/>
      <c r="L45" s="191"/>
    </row>
    <row r="46" spans="1:12" ht="14.1" customHeight="1">
      <c r="A46" s="190" t="s">
        <v>739</v>
      </c>
      <c r="B46" s="239">
        <f>IF(K14&gt;=0,IF(J14&lt;0,9+(-J14/K12),IF(I14&lt;0,8+(-I14/J12),IF(H14&lt;0,7+(-H14/I12),IF(G14&lt;0,6+(-G14/H12),IF(F14&lt;0,5+(-F14/G12),"&lt;5 years"))))),"&gt;9 years")</f>
        <v>9.0279307063620653</v>
      </c>
      <c r="C46" s="190" t="s">
        <v>737</v>
      </c>
      <c r="D46" s="190"/>
      <c r="E46" s="190"/>
      <c r="F46" s="190"/>
      <c r="G46" s="190"/>
      <c r="H46" s="190"/>
      <c r="I46" s="190"/>
      <c r="J46" s="190"/>
      <c r="K46" s="190"/>
      <c r="L46" s="19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CA7AB-CD3F-43AF-A8A4-6BD3C0E64164}">
  <sheetPr codeName="Arkusz1">
    <tabColor rgb="FF7030A0"/>
  </sheetPr>
  <dimension ref="A1:L98"/>
  <sheetViews>
    <sheetView zoomScale="130" zoomScaleNormal="130" workbookViewId="0">
      <selection activeCell="A75" sqref="A75"/>
    </sheetView>
  </sheetViews>
  <sheetFormatPr defaultRowHeight="14.25" outlineLevelRow="1"/>
  <cols>
    <col min="1" max="1" width="30" customWidth="1"/>
    <col min="2" max="2" width="26.625" customWidth="1"/>
    <col min="3" max="12" width="15.875" customWidth="1"/>
  </cols>
  <sheetData>
    <row r="1" spans="1:12">
      <c r="A1" s="259" t="s">
        <v>590</v>
      </c>
      <c r="B1" s="260" t="s">
        <v>758</v>
      </c>
      <c r="C1" s="182"/>
      <c r="D1" s="259"/>
      <c r="E1" s="259"/>
      <c r="F1" s="259"/>
      <c r="G1" s="259"/>
      <c r="H1" s="259"/>
      <c r="I1" s="259"/>
      <c r="J1" s="259"/>
      <c r="K1" s="259"/>
      <c r="L1" s="259"/>
    </row>
    <row r="2" spans="1:12" ht="24" customHeight="1">
      <c r="A2" s="189" t="s">
        <v>591</v>
      </c>
      <c r="B2" s="212"/>
      <c r="C2" s="212"/>
      <c r="D2" s="283">
        <v>2027</v>
      </c>
      <c r="E2" s="282">
        <v>2028</v>
      </c>
      <c r="F2" s="282">
        <v>2029</v>
      </c>
      <c r="G2" s="282">
        <v>2030</v>
      </c>
      <c r="H2" s="285">
        <v>2031</v>
      </c>
      <c r="I2" s="285">
        <v>2032</v>
      </c>
      <c r="J2" s="285">
        <v>2033</v>
      </c>
      <c r="K2" s="285">
        <v>2034</v>
      </c>
      <c r="L2" s="285">
        <v>2035</v>
      </c>
    </row>
    <row r="3" spans="1:12" ht="24" customHeight="1">
      <c r="A3" s="190" t="s">
        <v>634</v>
      </c>
      <c r="B3" s="212"/>
      <c r="C3" s="212"/>
      <c r="D3" s="315">
        <f>Assumptions!B20</f>
        <v>3</v>
      </c>
      <c r="E3" s="305">
        <f>Assumptions!B20</f>
        <v>3</v>
      </c>
      <c r="F3" s="305">
        <f>Assumptions!B20</f>
        <v>3</v>
      </c>
      <c r="G3" s="305">
        <f>Assumptions!B20</f>
        <v>3</v>
      </c>
      <c r="H3" s="306">
        <f>Assumptions!B20</f>
        <v>3</v>
      </c>
      <c r="I3" s="306">
        <f>Assumptions!B20</f>
        <v>3</v>
      </c>
      <c r="J3" s="306">
        <f>Assumptions!B20</f>
        <v>3</v>
      </c>
      <c r="K3" s="306">
        <f>Assumptions!B20</f>
        <v>3</v>
      </c>
      <c r="L3" s="306">
        <f>Assumptions!B20</f>
        <v>3</v>
      </c>
    </row>
    <row r="4" spans="1:12" ht="24" customHeight="1">
      <c r="A4" s="190" t="s">
        <v>606</v>
      </c>
      <c r="B4" s="212"/>
      <c r="C4" s="212"/>
      <c r="D4" s="316">
        <f>Assumptions!B24</f>
        <v>0.7</v>
      </c>
      <c r="E4" s="307">
        <f>Assumptions!B25</f>
        <v>0.8</v>
      </c>
      <c r="F4" s="307">
        <f>Assumptions!B26</f>
        <v>0.9</v>
      </c>
      <c r="G4" s="307">
        <f>Assumptions!B26</f>
        <v>0.9</v>
      </c>
      <c r="H4" s="308">
        <f>Assumptions!B26</f>
        <v>0.9</v>
      </c>
      <c r="I4" s="308">
        <f>Assumptions!B26</f>
        <v>0.9</v>
      </c>
      <c r="J4" s="308">
        <f>Assumptions!B26</f>
        <v>0.9</v>
      </c>
      <c r="K4" s="308">
        <f>Assumptions!B26</f>
        <v>0.9</v>
      </c>
      <c r="L4" s="308">
        <f>Assumptions!B26</f>
        <v>0.9</v>
      </c>
    </row>
    <row r="5" spans="1:12" ht="24" customHeight="1">
      <c r="A5" s="190"/>
      <c r="B5" s="212"/>
      <c r="C5" s="212"/>
      <c r="D5" s="284"/>
      <c r="E5" s="265"/>
      <c r="F5" s="265"/>
      <c r="G5" s="265"/>
      <c r="H5" s="286"/>
      <c r="I5" s="286"/>
      <c r="J5" s="286"/>
      <c r="K5" s="286"/>
      <c r="L5" s="286"/>
    </row>
    <row r="6" spans="1:12" ht="24" customHeight="1">
      <c r="A6" s="189" t="s">
        <v>592</v>
      </c>
      <c r="B6" s="212"/>
      <c r="C6" s="212"/>
      <c r="D6" s="284"/>
      <c r="E6" s="265"/>
      <c r="F6" s="265"/>
      <c r="G6" s="265"/>
      <c r="H6" s="286"/>
      <c r="I6" s="286"/>
      <c r="J6" s="286"/>
      <c r="K6" s="286"/>
      <c r="L6" s="286"/>
    </row>
    <row r="7" spans="1:12" ht="24" customHeight="1">
      <c r="A7" s="190" t="s">
        <v>609</v>
      </c>
      <c r="B7" s="212"/>
      <c r="C7" s="212"/>
      <c r="D7" s="317">
        <f>Assumptions!B31</f>
        <v>130</v>
      </c>
      <c r="E7" s="309">
        <f>Assumptions!B31</f>
        <v>130</v>
      </c>
      <c r="F7" s="309">
        <f>Assumptions!B31</f>
        <v>130</v>
      </c>
      <c r="G7" s="309">
        <f>Assumptions!B31</f>
        <v>130</v>
      </c>
      <c r="H7" s="310">
        <f>Assumptions!B31</f>
        <v>130</v>
      </c>
      <c r="I7" s="310">
        <f>Assumptions!B31</f>
        <v>130</v>
      </c>
      <c r="J7" s="310">
        <f>Assumptions!B31</f>
        <v>130</v>
      </c>
      <c r="K7" s="310">
        <f>Assumptions!B31</f>
        <v>130</v>
      </c>
      <c r="L7" s="310">
        <f>Assumptions!B31</f>
        <v>130</v>
      </c>
    </row>
    <row r="8" spans="1:12" ht="24" customHeight="1">
      <c r="A8" s="190" t="s">
        <v>607</v>
      </c>
      <c r="B8" s="212"/>
      <c r="C8" s="212"/>
      <c r="D8" s="318">
        <f>Assumptions!B30*(D4)</f>
        <v>78.399999999999991</v>
      </c>
      <c r="E8" s="311">
        <f>Assumptions!B30*(E4)</f>
        <v>89.600000000000009</v>
      </c>
      <c r="F8" s="311">
        <f>Assumptions!B30*(F4)</f>
        <v>100.8</v>
      </c>
      <c r="G8" s="311">
        <f>Assumptions!B30*(G4)</f>
        <v>100.8</v>
      </c>
      <c r="H8" s="312">
        <f>Assumptions!B30*(H4)</f>
        <v>100.8</v>
      </c>
      <c r="I8" s="312">
        <f>Assumptions!B30*(I4)</f>
        <v>100.8</v>
      </c>
      <c r="J8" s="312">
        <f>Assumptions!B30*(J4)</f>
        <v>100.8</v>
      </c>
      <c r="K8" s="312">
        <f>Assumptions!B30*(K4)</f>
        <v>100.8</v>
      </c>
      <c r="L8" s="312">
        <f>Assumptions!B30*(L4)</f>
        <v>100.8</v>
      </c>
    </row>
    <row r="9" spans="1:12" ht="24" customHeight="1">
      <c r="A9" s="190" t="s">
        <v>608</v>
      </c>
      <c r="B9" s="212"/>
      <c r="C9" s="212"/>
      <c r="D9" s="319">
        <f>Assumptions!B76*100</f>
        <v>6</v>
      </c>
      <c r="E9" s="313">
        <f>Assumptions!B76*100</f>
        <v>6</v>
      </c>
      <c r="F9" s="313">
        <f>Assumptions!B76*100</f>
        <v>6</v>
      </c>
      <c r="G9" s="313">
        <f>Assumptions!B76*100</f>
        <v>6</v>
      </c>
      <c r="H9" s="314">
        <f>Assumptions!B76*100</f>
        <v>6</v>
      </c>
      <c r="I9" s="314">
        <f>Assumptions!B76*100</f>
        <v>6</v>
      </c>
      <c r="J9" s="314">
        <f>Assumptions!B76*100</f>
        <v>6</v>
      </c>
      <c r="K9" s="314">
        <f>Assumptions!B76*100</f>
        <v>6</v>
      </c>
      <c r="L9" s="314">
        <f>Assumptions!B76*100</f>
        <v>6</v>
      </c>
    </row>
    <row r="10" spans="1:12">
      <c r="A10" s="190"/>
      <c r="B10" s="190"/>
      <c r="C10" s="190"/>
      <c r="D10" s="190"/>
      <c r="E10" s="190"/>
      <c r="F10" s="190"/>
      <c r="G10" s="190"/>
      <c r="H10" s="281"/>
      <c r="I10" s="281"/>
      <c r="J10" s="281"/>
      <c r="K10" s="281"/>
      <c r="L10" s="281"/>
    </row>
    <row r="11" spans="1:12">
      <c r="A11" s="190"/>
      <c r="B11" s="190"/>
      <c r="C11" s="190"/>
      <c r="D11" s="190"/>
      <c r="E11" s="190"/>
      <c r="F11" s="190"/>
      <c r="G11" s="190"/>
      <c r="H11" s="190"/>
      <c r="I11" s="190"/>
      <c r="J11" s="190"/>
      <c r="K11" s="190"/>
      <c r="L11" s="190"/>
    </row>
    <row r="12" spans="1:12">
      <c r="A12" s="261"/>
      <c r="B12" s="261"/>
      <c r="C12" s="261">
        <v>2026</v>
      </c>
      <c r="D12" s="261">
        <v>2027</v>
      </c>
      <c r="E12" s="261">
        <v>2028</v>
      </c>
      <c r="F12" s="261">
        <v>2029</v>
      </c>
      <c r="G12" s="261">
        <v>2030</v>
      </c>
      <c r="H12" s="261">
        <v>2031</v>
      </c>
      <c r="I12" s="261">
        <v>2032</v>
      </c>
      <c r="J12" s="261">
        <v>2033</v>
      </c>
      <c r="K12" s="261">
        <v>2034</v>
      </c>
      <c r="L12" s="261">
        <v>2035</v>
      </c>
    </row>
    <row r="13" spans="1:12">
      <c r="A13" s="294" t="s">
        <v>593</v>
      </c>
      <c r="B13" s="289"/>
      <c r="C13" s="279">
        <f>C52</f>
        <v>0</v>
      </c>
      <c r="D13" s="279">
        <f>D52</f>
        <v>678150143.99999988</v>
      </c>
      <c r="E13" s="279">
        <f t="shared" ref="E13:H13" si="0">E52</f>
        <v>775028736</v>
      </c>
      <c r="F13" s="279">
        <f t="shared" si="0"/>
        <v>871907328</v>
      </c>
      <c r="G13" s="279">
        <f t="shared" si="0"/>
        <v>871907328</v>
      </c>
      <c r="H13" s="279">
        <f t="shared" si="0"/>
        <v>871907328</v>
      </c>
      <c r="I13" s="279">
        <f>I52</f>
        <v>871907328</v>
      </c>
      <c r="J13" s="279">
        <f>J52</f>
        <v>871907328</v>
      </c>
      <c r="K13" s="279">
        <f>K52</f>
        <v>871907328</v>
      </c>
      <c r="L13" s="279">
        <f>L52</f>
        <v>871907328</v>
      </c>
    </row>
    <row r="14" spans="1:12">
      <c r="A14" s="189" t="s">
        <v>594</v>
      </c>
      <c r="B14" s="190"/>
      <c r="C14" s="279">
        <f t="shared" ref="C14:H14" si="1">C15</f>
        <v>3604000</v>
      </c>
      <c r="D14" s="279">
        <f t="shared" si="1"/>
        <v>769472740</v>
      </c>
      <c r="E14" s="279">
        <f t="shared" si="1"/>
        <v>676976782.29999995</v>
      </c>
      <c r="F14" s="279">
        <f t="shared" si="1"/>
        <v>607030895.8915</v>
      </c>
      <c r="G14" s="279">
        <f t="shared" si="1"/>
        <v>541417617.62197757</v>
      </c>
      <c r="H14" s="279">
        <f t="shared" si="1"/>
        <v>529822878.69053525</v>
      </c>
      <c r="I14" s="279">
        <f>I15</f>
        <v>561316069.46125126</v>
      </c>
      <c r="J14" s="279">
        <f>J15</f>
        <v>507444017.56733894</v>
      </c>
      <c r="K14" s="279">
        <f>K15</f>
        <v>465320564.76272154</v>
      </c>
      <c r="L14" s="279">
        <f>L15</f>
        <v>432637399.25867504</v>
      </c>
    </row>
    <row r="15" spans="1:12" hidden="1" outlineLevel="1">
      <c r="A15" s="190"/>
      <c r="B15" s="189" t="s">
        <v>242</v>
      </c>
      <c r="C15" s="272">
        <f t="shared" ref="C15:H15" si="2">SUM(C16:C23)</f>
        <v>3604000</v>
      </c>
      <c r="D15" s="272">
        <f t="shared" si="2"/>
        <v>769472740</v>
      </c>
      <c r="E15" s="272">
        <f t="shared" si="2"/>
        <v>676976782.29999995</v>
      </c>
      <c r="F15" s="272">
        <f t="shared" si="2"/>
        <v>607030895.8915</v>
      </c>
      <c r="G15" s="272">
        <f t="shared" si="2"/>
        <v>541417617.62197757</v>
      </c>
      <c r="H15" s="272">
        <f t="shared" si="2"/>
        <v>529822878.69053525</v>
      </c>
      <c r="I15" s="272">
        <f>SUM(I16:I23)</f>
        <v>561316069.46125126</v>
      </c>
      <c r="J15" s="272">
        <f>SUM(J16:J23)</f>
        <v>507444017.56733894</v>
      </c>
      <c r="K15" s="272">
        <f>SUM(K16:K23)</f>
        <v>465320564.76272154</v>
      </c>
      <c r="L15" s="272">
        <f>SUM(L16:L23)</f>
        <v>432637399.25867504</v>
      </c>
    </row>
    <row r="16" spans="1:12" hidden="1" outlineLevel="1">
      <c r="A16" s="190"/>
      <c r="B16" s="290" t="s">
        <v>624</v>
      </c>
      <c r="C16" s="273">
        <f>'D&amp;A CAPEX'!G38</f>
        <v>0</v>
      </c>
      <c r="D16" s="273">
        <f>'D&amp;A CAPEX'!H38</f>
        <v>641005000</v>
      </c>
      <c r="E16" s="273">
        <f>'D&amp;A CAPEX'!I38</f>
        <v>531793000</v>
      </c>
      <c r="F16" s="273">
        <f>'D&amp;A CAPEX'!J38</f>
        <v>444226525</v>
      </c>
      <c r="G16" s="273">
        <f>'D&amp;A CAPEX'!K38</f>
        <v>373985931.25</v>
      </c>
      <c r="H16" s="273">
        <f>'D&amp;A CAPEX'!L38</f>
        <v>357615136.4375</v>
      </c>
      <c r="I16" s="273">
        <f>'D&amp;A CAPEX'!M38</f>
        <v>384348894.94062501</v>
      </c>
      <c r="J16" s="273">
        <f>'D&amp;A CAPEX'!N38</f>
        <v>325574627.81109381</v>
      </c>
      <c r="K16" s="273">
        <f>'D&amp;A CAPEX'!O38</f>
        <v>278401893.31378907</v>
      </c>
      <c r="L16" s="273">
        <f>'D&amp;A CAPEX'!P38</f>
        <v>240517967.66627458</v>
      </c>
    </row>
    <row r="17" spans="1:12" hidden="1" outlineLevel="1">
      <c r="A17" s="190"/>
      <c r="B17" s="290" t="s">
        <v>1538</v>
      </c>
      <c r="C17" s="273">
        <f>'P&amp;L'!F17</f>
        <v>0</v>
      </c>
      <c r="D17" s="273">
        <f>'P&amp;L'!G17</f>
        <v>89281919.999999985</v>
      </c>
      <c r="E17" s="273">
        <f>'P&amp;L'!H17</f>
        <v>105097574.40000001</v>
      </c>
      <c r="F17" s="273">
        <f>'P&amp;L'!I17</f>
        <v>121781814.336</v>
      </c>
      <c r="G17" s="273">
        <f>'P&amp;L'!J17</f>
        <v>125435268.76607999</v>
      </c>
      <c r="H17" s="273">
        <f>'P&amp;L'!K17</f>
        <v>129198326.82906237</v>
      </c>
      <c r="I17" s="273">
        <f>I69</f>
        <v>133074276.63393426</v>
      </c>
      <c r="J17" s="273">
        <f>J69</f>
        <v>137066504.93295226</v>
      </c>
      <c r="K17" s="273">
        <f>K69</f>
        <v>141178500.08094084</v>
      </c>
      <c r="L17" s="273">
        <f>L69</f>
        <v>145413855.08336908</v>
      </c>
    </row>
    <row r="18" spans="1:12" hidden="1" outlineLevel="1">
      <c r="A18" s="190"/>
      <c r="B18" s="290" t="s">
        <v>89</v>
      </c>
      <c r="C18" s="273">
        <f>'P&amp;L'!F18</f>
        <v>2496000</v>
      </c>
      <c r="D18" s="273">
        <f>'P&amp;L'!G18</f>
        <v>14020800</v>
      </c>
      <c r="E18" s="273">
        <f>'P&amp;L'!H18</f>
        <v>14441424</v>
      </c>
      <c r="F18" s="273">
        <f>'P&amp;L'!I18</f>
        <v>14874666.720000001</v>
      </c>
      <c r="G18" s="273">
        <f>'P&amp;L'!J18</f>
        <v>15320906.721600002</v>
      </c>
      <c r="H18" s="273">
        <f>'P&amp;L'!K18</f>
        <v>15780533.923248002</v>
      </c>
      <c r="I18" s="273">
        <f>H18*(1+Assumptions!$B$32)</f>
        <v>16253949.940945443</v>
      </c>
      <c r="J18" s="273">
        <f>I18*(1+Assumptions!$B$32)</f>
        <v>16741568.439173806</v>
      </c>
      <c r="K18" s="273">
        <f>J18*(1+Assumptions!$B$32)</f>
        <v>17243815.492349021</v>
      </c>
      <c r="L18" s="273">
        <f>K18*(1+Assumptions!$B$32)</f>
        <v>17761129.957119491</v>
      </c>
    </row>
    <row r="19" spans="1:12" hidden="1" outlineLevel="1">
      <c r="A19" s="190"/>
      <c r="B19" s="290" t="s">
        <v>246</v>
      </c>
      <c r="C19" s="273">
        <f>'P&amp;L'!F19</f>
        <v>648000</v>
      </c>
      <c r="D19" s="273">
        <f>'P&amp;L'!G19</f>
        <v>2501520</v>
      </c>
      <c r="E19" s="273">
        <f>'P&amp;L'!H19</f>
        <v>2571626.4000000004</v>
      </c>
      <c r="F19" s="273">
        <f>'P&amp;L'!I19</f>
        <v>2646640.2480000001</v>
      </c>
      <c r="G19" s="273">
        <f>'P&amp;L'!J19</f>
        <v>2726905.0653600004</v>
      </c>
      <c r="H19" s="273">
        <f>'P&amp;L'!K19</f>
        <v>2812788.4199352004</v>
      </c>
      <c r="I19" s="273">
        <f>H19*(1+Assumptions!$B$32)</f>
        <v>2897172.0725332564</v>
      </c>
      <c r="J19" s="273">
        <f>I19*(1+Assumptions!$B$32)</f>
        <v>2984087.234709254</v>
      </c>
      <c r="K19" s="273">
        <f>J19*(1+Assumptions!$B$32)</f>
        <v>3073609.8517505317</v>
      </c>
      <c r="L19" s="273">
        <f>K19*(1+Assumptions!$B$32)</f>
        <v>3165818.1473030476</v>
      </c>
    </row>
    <row r="20" spans="1:12" hidden="1" outlineLevel="1">
      <c r="A20" s="190"/>
      <c r="B20" s="290" t="s">
        <v>623</v>
      </c>
      <c r="C20" s="273">
        <f>'P&amp;L'!F20</f>
        <v>60000</v>
      </c>
      <c r="D20" s="273">
        <f>'P&amp;L'!G20</f>
        <v>60000</v>
      </c>
      <c r="E20" s="273">
        <f>'P&amp;L'!H20</f>
        <v>60000</v>
      </c>
      <c r="F20" s="273">
        <f>'P&amp;L'!I20</f>
        <v>60000</v>
      </c>
      <c r="G20" s="273">
        <f>'P&amp;L'!J20</f>
        <v>60000</v>
      </c>
      <c r="H20" s="273">
        <f>'P&amp;L'!K20</f>
        <v>60000</v>
      </c>
      <c r="I20" s="273">
        <f>'P&amp;L'!L20</f>
        <v>60000</v>
      </c>
      <c r="J20" s="273">
        <f>'P&amp;L'!M20</f>
        <v>60000</v>
      </c>
      <c r="K20" s="273">
        <f>'P&amp;L'!N20</f>
        <v>60000</v>
      </c>
      <c r="L20" s="273">
        <f>'P&amp;L'!O20</f>
        <v>60000</v>
      </c>
    </row>
    <row r="21" spans="1:12" hidden="1" outlineLevel="1">
      <c r="A21" s="190"/>
      <c r="B21" s="290" t="s">
        <v>252</v>
      </c>
      <c r="C21" s="273">
        <f>'P&amp;L'!F22</f>
        <v>0</v>
      </c>
      <c r="D21" s="273">
        <f>'P&amp;L'!G22</f>
        <v>6502500</v>
      </c>
      <c r="E21" s="273">
        <f>'P&amp;L'!H22</f>
        <v>6795112.5</v>
      </c>
      <c r="F21" s="273">
        <f>'P&amp;L'!I22</f>
        <v>7100892.5624999991</v>
      </c>
      <c r="G21" s="273">
        <f>'P&amp;L'!J22</f>
        <v>7420432.7278124988</v>
      </c>
      <c r="H21" s="273">
        <f>'P&amp;L'!K22</f>
        <v>7754352.2005640604</v>
      </c>
      <c r="I21" s="273">
        <f>H21*(1+Assumptions!$B$32)</f>
        <v>7986982.7665809821</v>
      </c>
      <c r="J21" s="273">
        <f>I21*(1+Assumptions!$B$32)</f>
        <v>8226592.2495784117</v>
      </c>
      <c r="K21" s="273">
        <f>J21*(1+Assumptions!$B$32)</f>
        <v>8473390.0170657635</v>
      </c>
      <c r="L21" s="273">
        <f>K21*(1+Assumptions!$B$32)</f>
        <v>8727591.7175777368</v>
      </c>
    </row>
    <row r="22" spans="1:12" hidden="1" outlineLevel="1">
      <c r="A22" s="190"/>
      <c r="B22" s="290" t="s">
        <v>625</v>
      </c>
      <c r="C22" s="273">
        <f>'P&amp;L'!F23</f>
        <v>0</v>
      </c>
      <c r="D22" s="273">
        <f>'P&amp;L'!G23</f>
        <v>2601000</v>
      </c>
      <c r="E22" s="273">
        <f>'P&amp;L'!H23</f>
        <v>2718045</v>
      </c>
      <c r="F22" s="273">
        <f>'P&amp;L'!I23</f>
        <v>2840357.0249999999</v>
      </c>
      <c r="G22" s="273">
        <f>'P&amp;L'!J23</f>
        <v>2968173.0911249998</v>
      </c>
      <c r="H22" s="273">
        <f>'P&amp;L'!K23</f>
        <v>3101740.8802256244</v>
      </c>
      <c r="I22" s="273">
        <f>H22*(1+Assumptions!$B$32)</f>
        <v>3194793.1066323933</v>
      </c>
      <c r="J22" s="273">
        <f>I22*(1+Assumptions!$B$32)</f>
        <v>3290636.8998313653</v>
      </c>
      <c r="K22" s="273">
        <f>J22*(1+Assumptions!$B$32)</f>
        <v>3389356.0068263062</v>
      </c>
      <c r="L22" s="273">
        <f>K22*(1+Assumptions!$B$32)</f>
        <v>3491036.6870310954</v>
      </c>
    </row>
    <row r="23" spans="1:12" hidden="1" outlineLevel="1">
      <c r="A23" s="190"/>
      <c r="B23" s="290" t="s">
        <v>258</v>
      </c>
      <c r="C23" s="273">
        <f>'P&amp;L'!F25</f>
        <v>400000</v>
      </c>
      <c r="D23" s="273">
        <f>'P&amp;L'!G25</f>
        <v>13500000</v>
      </c>
      <c r="E23" s="273">
        <f>'P&amp;L'!H25</f>
        <v>13500000</v>
      </c>
      <c r="F23" s="273">
        <f>'P&amp;L'!I25</f>
        <v>13500000</v>
      </c>
      <c r="G23" s="273">
        <f>'P&amp;L'!J25</f>
        <v>13500000</v>
      </c>
      <c r="H23" s="273">
        <f>'P&amp;L'!K25</f>
        <v>13500000</v>
      </c>
      <c r="I23" s="273">
        <f>'P&amp;L'!L25</f>
        <v>13500000</v>
      </c>
      <c r="J23" s="273">
        <f>'P&amp;L'!M25</f>
        <v>13500000</v>
      </c>
      <c r="K23" s="273">
        <f>'P&amp;L'!N25</f>
        <v>13500000</v>
      </c>
      <c r="L23" s="273">
        <f>'P&amp;L'!O25</f>
        <v>13500000</v>
      </c>
    </row>
    <row r="24" spans="1:12" collapsed="1">
      <c r="A24" s="191" t="s">
        <v>611</v>
      </c>
      <c r="B24" s="190"/>
      <c r="C24" s="280">
        <f t="shared" ref="C24:H24" si="3">C13-C14</f>
        <v>-3604000</v>
      </c>
      <c r="D24" s="280">
        <f t="shared" si="3"/>
        <v>-91322596.000000119</v>
      </c>
      <c r="E24" s="280">
        <f t="shared" si="3"/>
        <v>98051953.700000048</v>
      </c>
      <c r="F24" s="280">
        <f t="shared" si="3"/>
        <v>264876432.1085</v>
      </c>
      <c r="G24" s="280">
        <f t="shared" si="3"/>
        <v>330489710.37802243</v>
      </c>
      <c r="H24" s="280">
        <f t="shared" si="3"/>
        <v>342084449.30946475</v>
      </c>
      <c r="I24" s="280">
        <f>I13-I14</f>
        <v>310591258.53874874</v>
      </c>
      <c r="J24" s="280">
        <f>J13-J14</f>
        <v>364463310.43266106</v>
      </c>
      <c r="K24" s="280">
        <f>K13-K14</f>
        <v>406586763.23727846</v>
      </c>
      <c r="L24" s="280">
        <f>L13-L14</f>
        <v>439269928.74132496</v>
      </c>
    </row>
    <row r="25" spans="1:12">
      <c r="A25" s="295" t="s">
        <v>615</v>
      </c>
      <c r="B25" s="291"/>
      <c r="C25" s="274">
        <v>0</v>
      </c>
      <c r="D25" s="274">
        <f>D24/D13</f>
        <v>-0.13466427281330803</v>
      </c>
      <c r="E25" s="274">
        <f>E24/E13</f>
        <v>0.12651395896112946</v>
      </c>
      <c r="F25" s="274">
        <f>F24/F13</f>
        <v>0.3037896615871773</v>
      </c>
      <c r="G25" s="274">
        <f>G24/G13</f>
        <v>0.37904224424412963</v>
      </c>
      <c r="H25" s="274">
        <f>H24/H13</f>
        <v>0.3923403764642574</v>
      </c>
      <c r="I25" s="274">
        <f>I24/I13</f>
        <v>0.35622049335356515</v>
      </c>
      <c r="J25" s="274">
        <f>J24/J13</f>
        <v>0.41800693574703052</v>
      </c>
      <c r="K25" s="274">
        <f>K24/K13</f>
        <v>0.46631878203147581</v>
      </c>
      <c r="L25" s="274">
        <f>L24/L13</f>
        <v>0.50380346010961041</v>
      </c>
    </row>
    <row r="26" spans="1:12">
      <c r="A26" s="297" t="s">
        <v>285</v>
      </c>
      <c r="B26" s="298"/>
      <c r="C26" s="299">
        <f>C24+C16+C79</f>
        <v>-3604000</v>
      </c>
      <c r="D26" s="299">
        <f>D24+D16</f>
        <v>549682403.99999988</v>
      </c>
      <c r="E26" s="299">
        <f>E24+E16</f>
        <v>629844953.70000005</v>
      </c>
      <c r="F26" s="299">
        <f>F24+F16</f>
        <v>709102957.1085</v>
      </c>
      <c r="G26" s="299">
        <f>G24+G16</f>
        <v>704475641.62802243</v>
      </c>
      <c r="H26" s="299">
        <f>H24+H16</f>
        <v>699699585.74696469</v>
      </c>
      <c r="I26" s="299">
        <f>I24+I16</f>
        <v>694940153.47937369</v>
      </c>
      <c r="J26" s="299">
        <f>J24+J16</f>
        <v>690037938.24375486</v>
      </c>
      <c r="K26" s="299">
        <f>K24+K16</f>
        <v>684988656.55106759</v>
      </c>
      <c r="L26" s="299">
        <f>L24+L16</f>
        <v>679787896.40759957</v>
      </c>
    </row>
    <row r="27" spans="1:12" hidden="1" outlineLevel="1">
      <c r="A27" s="190" t="s">
        <v>614</v>
      </c>
      <c r="B27" s="190"/>
      <c r="C27" s="273"/>
      <c r="D27" s="275">
        <f>Assumptions!B81</f>
        <v>3800000</v>
      </c>
      <c r="E27" s="275">
        <f>Assumptions!B81</f>
        <v>3800000</v>
      </c>
      <c r="F27" s="275">
        <f>Assumptions!B81</f>
        <v>3800000</v>
      </c>
      <c r="G27" s="275">
        <f>Assumptions!B81</f>
        <v>3800000</v>
      </c>
      <c r="H27" s="275">
        <f>Assumptions!B81</f>
        <v>3800000</v>
      </c>
      <c r="I27" s="275">
        <f>Assumptions!B81</f>
        <v>3800000</v>
      </c>
      <c r="J27" s="275">
        <f>Assumptions!B81</f>
        <v>3800000</v>
      </c>
      <c r="K27" s="275">
        <f>Assumptions!B81</f>
        <v>3800000</v>
      </c>
      <c r="L27" s="275">
        <f>Assumptions!B81</f>
        <v>3800000</v>
      </c>
    </row>
    <row r="28" spans="1:12" hidden="1" outlineLevel="1">
      <c r="A28" s="190" t="s">
        <v>1554</v>
      </c>
      <c r="B28" s="190"/>
      <c r="C28" s="273">
        <v>0</v>
      </c>
      <c r="D28" s="273">
        <f>IF(C29&lt;0, C28-C29, MAX(0, C28-C30))</f>
        <v>3604000</v>
      </c>
      <c r="E28" s="273">
        <f>IF(D29&lt;0, D28-D29, MAX(0, D28-D30))</f>
        <v>279246596.00000012</v>
      </c>
      <c r="F28" s="273">
        <f>IF(E29&lt;0, E28-E29, MAX(0, E28-E30))</f>
        <v>345034642.30000007</v>
      </c>
      <c r="G28" s="273">
        <f>IF(F29&lt;0, F28-F29, MAX(0, F28-F30))</f>
        <v>223518210.19150004</v>
      </c>
      <c r="H28" s="273">
        <f>IF(G29&lt;0, G28-G29, MAX(0, G28-G30))</f>
        <v>15908499.813477606</v>
      </c>
      <c r="I28" s="273">
        <f>IF(H29&lt;0, H28-H29, MAX(0, H28-H30))</f>
        <v>0</v>
      </c>
      <c r="J28" s="273">
        <f>IF(I29&lt;0, I28-I29, MAX(0, I28-I30))</f>
        <v>0</v>
      </c>
      <c r="K28" s="273">
        <f>IF(J29&lt;0, J28-J29, MAX(0, J28-J30))</f>
        <v>0</v>
      </c>
      <c r="L28" s="273">
        <f>IF(K29&lt;0, K28-K29, MAX(0, K28-K30))</f>
        <v>0</v>
      </c>
    </row>
    <row r="29" spans="1:12" hidden="1" outlineLevel="1">
      <c r="A29" s="190" t="s">
        <v>631</v>
      </c>
      <c r="B29" s="190"/>
      <c r="C29" s="273">
        <f t="shared" ref="C29:H29" si="4">C24-C79</f>
        <v>-3604000</v>
      </c>
      <c r="D29" s="273">
        <f t="shared" si="4"/>
        <v>-275642596.00000012</v>
      </c>
      <c r="E29" s="273">
        <f t="shared" si="4"/>
        <v>-65788046.299999923</v>
      </c>
      <c r="F29" s="273">
        <f t="shared" si="4"/>
        <v>121516432.10850003</v>
      </c>
      <c r="G29" s="273">
        <f t="shared" si="4"/>
        <v>207609710.37802243</v>
      </c>
      <c r="H29" s="273">
        <f t="shared" si="4"/>
        <v>239684449.30946475</v>
      </c>
      <c r="I29" s="273">
        <f>I24-I79</f>
        <v>228671258.53874874</v>
      </c>
      <c r="J29" s="273">
        <f>J24-J79</f>
        <v>303023310.43266106</v>
      </c>
      <c r="K29" s="273">
        <f>K24-K79</f>
        <v>365626763.23727846</v>
      </c>
      <c r="L29" s="273">
        <f>L24-L79</f>
        <v>418789928.74132496</v>
      </c>
    </row>
    <row r="30" spans="1:12" hidden="1" outlineLevel="1">
      <c r="A30" s="191" t="s">
        <v>1555</v>
      </c>
      <c r="B30" s="190"/>
      <c r="C30" s="273">
        <v>0</v>
      </c>
      <c r="D30" s="273">
        <f>IF(D29&gt;0, MIN(D29, D28), 0)</f>
        <v>0</v>
      </c>
      <c r="E30" s="273">
        <f>IF(E29&gt;0, MIN(E29, E28), 0)</f>
        <v>0</v>
      </c>
      <c r="F30" s="273">
        <f>IF(F29&gt;0, MIN(F29, F28), 0)</f>
        <v>121516432.10850003</v>
      </c>
      <c r="G30" s="273">
        <f>IF(G29&gt;0, MIN(G29, G28), 0)</f>
        <v>207609710.37802243</v>
      </c>
      <c r="H30" s="273">
        <f>IF(H29&gt;0, MIN(H29, H28), 0)</f>
        <v>15908499.813477606</v>
      </c>
      <c r="I30" s="273">
        <f>IF(I29&gt;0, MIN(I29, I28), 0)</f>
        <v>0</v>
      </c>
      <c r="J30" s="273">
        <f>IF(J29&gt;0, MIN(J29, J28), 0)</f>
        <v>0</v>
      </c>
      <c r="K30" s="273">
        <f>IF(K29&gt;0, MIN(K29, K28), 0)</f>
        <v>0</v>
      </c>
      <c r="L30" s="273">
        <f>IF(L29&gt;0, MIN(L29, L28), 0)</f>
        <v>0</v>
      </c>
    </row>
    <row r="31" spans="1:12" collapsed="1">
      <c r="A31" s="191" t="s">
        <v>613</v>
      </c>
      <c r="B31" s="190"/>
      <c r="C31" s="273">
        <f>MAX(0, MAX(0,C29-C30)*Assumptions!$B$80 - C27)</f>
        <v>0</v>
      </c>
      <c r="D31" s="273">
        <f>MAX(0, MAX(0,D29-D30)*Assumptions!$B$80 - D27)</f>
        <v>0</v>
      </c>
      <c r="E31" s="273">
        <f>MAX(0, MAX(0,E29-E30)*Assumptions!$B$80 - E27)</f>
        <v>0</v>
      </c>
      <c r="F31" s="273">
        <f>MAX(0, MAX(0,F29-F30)*Assumptions!$B$80 - F27)</f>
        <v>0</v>
      </c>
      <c r="G31" s="273">
        <f>MAX(0, MAX(0,G29-G30)*Assumptions!$B$80 - G27)</f>
        <v>0</v>
      </c>
      <c r="H31" s="273">
        <f>MAX(0, MAX(0,H29-H30)*Assumptions!$B$80 - H27)</f>
        <v>38717430.404237561</v>
      </c>
      <c r="I31" s="273">
        <f>MAX(0, MAX(0,I29-I30)*Assumptions!$B$80 - I27)</f>
        <v>39647539.122362264</v>
      </c>
      <c r="J31" s="273">
        <f>MAX(0, MAX(0,J29-J30)*Assumptions!$B$80 - J27)</f>
        <v>53774428.9822056</v>
      </c>
      <c r="K31" s="273">
        <f>MAX(0, MAX(0,K29-K30)*Assumptions!$B$80 - K27)</f>
        <v>65669085.015082911</v>
      </c>
      <c r="L31" s="273">
        <f>MAX(0, MAX(0,L29-L30)*Assumptions!$B$80 - L27)</f>
        <v>75770086.460851744</v>
      </c>
    </row>
    <row r="32" spans="1:12">
      <c r="A32" s="300" t="s">
        <v>612</v>
      </c>
      <c r="B32" s="301"/>
      <c r="C32" s="302">
        <f>IFERROR(C26/C13,0)</f>
        <v>0</v>
      </c>
      <c r="D32" s="276">
        <f>D26/D13</f>
        <v>0.81056150892743895</v>
      </c>
      <c r="E32" s="276">
        <f>E26/E13</f>
        <v>0.81267303319705564</v>
      </c>
      <c r="F32" s="276">
        <f>F26/F13</f>
        <v>0.81327789586888299</v>
      </c>
      <c r="G32" s="276">
        <f>G26/G13</f>
        <v>0.80797077740356193</v>
      </c>
      <c r="H32" s="276">
        <f>H26/H13</f>
        <v>0.80249306695466227</v>
      </c>
      <c r="I32" s="276">
        <f>I26/I13</f>
        <v>0.79703442230889665</v>
      </c>
      <c r="J32" s="276">
        <f>J26/J13</f>
        <v>0.79141201832375796</v>
      </c>
      <c r="K32" s="276">
        <f>K26/K13</f>
        <v>0.78562094221906531</v>
      </c>
      <c r="L32" s="276">
        <f>L26/L13</f>
        <v>0.77965613383123167</v>
      </c>
    </row>
    <row r="33" spans="1:12" ht="15" thickBot="1">
      <c r="A33" s="216" t="s">
        <v>616</v>
      </c>
      <c r="B33" s="303"/>
      <c r="C33" s="304">
        <f t="shared" ref="C33:H33" si="5">C24-C31-C79</f>
        <v>-3604000</v>
      </c>
      <c r="D33" s="304">
        <f>D24-D31-D79</f>
        <v>-275642596.00000012</v>
      </c>
      <c r="E33" s="304">
        <f t="shared" si="5"/>
        <v>-65788046.299999923</v>
      </c>
      <c r="F33" s="304">
        <f t="shared" si="5"/>
        <v>121516432.10850003</v>
      </c>
      <c r="G33" s="304">
        <f t="shared" si="5"/>
        <v>207609710.37802243</v>
      </c>
      <c r="H33" s="304">
        <f t="shared" si="5"/>
        <v>200967018.90522718</v>
      </c>
      <c r="I33" s="304">
        <f>I24-I31-I79</f>
        <v>189023719.41638649</v>
      </c>
      <c r="J33" s="304">
        <f>J24-J31-J79</f>
        <v>249248881.45045543</v>
      </c>
      <c r="K33" s="304">
        <f>K24-K31-K79</f>
        <v>299957678.22219557</v>
      </c>
      <c r="L33" s="304">
        <f>L24-L31-L79</f>
        <v>343019842.28047323</v>
      </c>
    </row>
    <row r="34" spans="1:12" ht="15" thickTop="1">
      <c r="A34" s="295" t="s">
        <v>595</v>
      </c>
      <c r="B34" s="291"/>
      <c r="C34" s="274">
        <f>C33/CF!$G$51</f>
        <v>-6.8562297077922078E-3</v>
      </c>
      <c r="D34" s="274">
        <f>D33/CF!$G$51</f>
        <v>-0.52438095322646128</v>
      </c>
      <c r="E34" s="274">
        <f>E33/CF!$G$51</f>
        <v>-0.1251548161652799</v>
      </c>
      <c r="F34" s="274">
        <f>F33/CF!$G$51</f>
        <v>0.23117218973563064</v>
      </c>
      <c r="G34" s="274">
        <f>G33/CF!$G$51</f>
        <v>0.39495556712539781</v>
      </c>
      <c r="H34" s="274">
        <f>H33/CF!$G$51</f>
        <v>0.38231854753175831</v>
      </c>
      <c r="I34" s="274">
        <f>I33/CF!$G$51</f>
        <v>0.35959768050499663</v>
      </c>
      <c r="J34" s="274">
        <f>J33/CF!$G$51</f>
        <v>0.47416969634700074</v>
      </c>
      <c r="K34" s="274">
        <f>K33/CF!$G$51</f>
        <v>0.57063783143934321</v>
      </c>
      <c r="L34" s="274">
        <f>L33/CF!$G$51</f>
        <v>0.65255905466303499</v>
      </c>
    </row>
    <row r="35" spans="1:12">
      <c r="A35" s="296" t="s">
        <v>617</v>
      </c>
      <c r="B35" s="292"/>
      <c r="C35" s="293"/>
      <c r="D35" s="277">
        <f>D33/D13</f>
        <v>-0.40646248981700456</v>
      </c>
      <c r="E35" s="277">
        <f>E33/E13</f>
        <v>-8.4884654263967727E-2</v>
      </c>
      <c r="F35" s="277">
        <f>F33/F13</f>
        <v>0.13936851796765726</v>
      </c>
      <c r="G35" s="277">
        <f>G33/G13</f>
        <v>0.23810983542739811</v>
      </c>
      <c r="H35" s="277">
        <f>H33/H13</f>
        <v>0.23049126031112699</v>
      </c>
      <c r="I35" s="277">
        <f>I33/I13</f>
        <v>0.21679336019571394</v>
      </c>
      <c r="J35" s="277">
        <f>J33/J13</f>
        <v>0.28586625372467961</v>
      </c>
      <c r="K35" s="277">
        <f>K33/K13</f>
        <v>0.34402472440533904</v>
      </c>
      <c r="L35" s="277">
        <f>L33/L13</f>
        <v>0.39341318883888682</v>
      </c>
    </row>
    <row r="36" spans="1:12" ht="15.95" customHeight="1">
      <c r="A36" s="190"/>
      <c r="B36" s="190"/>
      <c r="C36" s="190"/>
      <c r="D36" s="190"/>
      <c r="E36" s="190"/>
      <c r="F36" s="252"/>
      <c r="G36" s="190"/>
      <c r="H36" s="190"/>
      <c r="I36" s="190"/>
      <c r="J36" s="190"/>
      <c r="K36" s="190"/>
      <c r="L36" s="190"/>
    </row>
    <row r="37" spans="1:12">
      <c r="A37" s="190"/>
      <c r="B37" s="190"/>
      <c r="C37" s="190"/>
      <c r="D37" s="190"/>
      <c r="E37" s="190"/>
      <c r="F37" s="253"/>
      <c r="G37" s="254"/>
      <c r="H37" s="190"/>
      <c r="I37" s="190"/>
      <c r="J37" s="190"/>
      <c r="K37" s="190"/>
      <c r="L37" s="190"/>
    </row>
    <row r="38" spans="1:12" hidden="1" outlineLevel="1">
      <c r="A38" s="381" t="s">
        <v>593</v>
      </c>
      <c r="B38" s="381"/>
      <c r="C38" s="381"/>
      <c r="D38" s="381"/>
      <c r="E38" s="381"/>
      <c r="F38" s="381"/>
      <c r="G38" s="381"/>
      <c r="H38" s="381"/>
      <c r="I38" s="190"/>
    </row>
    <row r="39" spans="1:12" hidden="1" outlineLevel="1">
      <c r="A39" s="190"/>
      <c r="B39" s="190"/>
      <c r="C39" s="190"/>
      <c r="D39" s="190"/>
      <c r="E39" s="190"/>
      <c r="F39" s="190"/>
      <c r="G39" s="190"/>
      <c r="H39" s="190"/>
      <c r="I39" s="190"/>
      <c r="J39" s="190"/>
      <c r="K39" s="190"/>
      <c r="L39" s="190"/>
    </row>
    <row r="40" spans="1:12" hidden="1" outlineLevel="1">
      <c r="A40" s="347"/>
      <c r="B40" s="347"/>
      <c r="C40" s="261">
        <v>2026</v>
      </c>
      <c r="D40" s="261">
        <v>2027</v>
      </c>
      <c r="E40" s="261">
        <v>2028</v>
      </c>
      <c r="F40" s="261">
        <v>2029</v>
      </c>
      <c r="G40" s="261">
        <v>2030</v>
      </c>
      <c r="H40" s="261">
        <v>2031</v>
      </c>
      <c r="I40" s="261">
        <f>I12</f>
        <v>2032</v>
      </c>
      <c r="J40" s="261">
        <f>J12</f>
        <v>2033</v>
      </c>
      <c r="K40" s="261">
        <f>K12</f>
        <v>2034</v>
      </c>
      <c r="L40" s="261">
        <f>L12</f>
        <v>2035</v>
      </c>
    </row>
    <row r="41" spans="1:12" hidden="1" outlineLevel="1">
      <c r="A41" s="321"/>
      <c r="B41" s="321" t="s">
        <v>603</v>
      </c>
      <c r="C41" s="325">
        <v>0</v>
      </c>
      <c r="D41" s="326">
        <f>8*64*72*24</f>
        <v>884736</v>
      </c>
      <c r="E41" s="326">
        <f t="shared" ref="E41:H41" si="6">8*64*72*24</f>
        <v>884736</v>
      </c>
      <c r="F41" s="326">
        <f t="shared" si="6"/>
        <v>884736</v>
      </c>
      <c r="G41" s="326">
        <f t="shared" si="6"/>
        <v>884736</v>
      </c>
      <c r="H41" s="326">
        <f t="shared" si="6"/>
        <v>884736</v>
      </c>
      <c r="I41" s="326">
        <f>Assumptions!B17</f>
        <v>884736</v>
      </c>
      <c r="J41" s="326">
        <f>Assumptions!B17</f>
        <v>884736</v>
      </c>
      <c r="K41" s="326">
        <f>Assumptions!B17</f>
        <v>884736</v>
      </c>
      <c r="L41" s="326">
        <f>Assumptions!B17</f>
        <v>884736</v>
      </c>
    </row>
    <row r="42" spans="1:12" hidden="1" outlineLevel="1">
      <c r="A42" s="322"/>
      <c r="B42" s="322" t="s">
        <v>602</v>
      </c>
      <c r="C42" s="327">
        <f>Incomes!F15</f>
        <v>3</v>
      </c>
      <c r="D42" s="328">
        <f>Incomes!G15</f>
        <v>3</v>
      </c>
      <c r="E42" s="328">
        <f>Incomes!K15</f>
        <v>3</v>
      </c>
      <c r="F42" s="328">
        <f>Incomes!O15</f>
        <v>3</v>
      </c>
      <c r="G42" s="328">
        <f>Incomes!S15</f>
        <v>3</v>
      </c>
      <c r="H42" s="328">
        <f>Incomes!W15</f>
        <v>3</v>
      </c>
      <c r="I42" s="328">
        <f>Assumptions!B20</f>
        <v>3</v>
      </c>
      <c r="J42" s="328">
        <f>Assumptions!B20</f>
        <v>3</v>
      </c>
      <c r="K42" s="328">
        <f>Assumptions!B20</f>
        <v>3</v>
      </c>
      <c r="L42" s="328">
        <f>Assumptions!B20</f>
        <v>3</v>
      </c>
    </row>
    <row r="43" spans="1:12" hidden="1" outlineLevel="1">
      <c r="A43" s="321"/>
      <c r="B43" s="321" t="s">
        <v>604</v>
      </c>
      <c r="C43" s="325">
        <v>0</v>
      </c>
      <c r="D43" s="329">
        <f>365</f>
        <v>365</v>
      </c>
      <c r="E43" s="329">
        <f>365</f>
        <v>365</v>
      </c>
      <c r="F43" s="329">
        <f>365</f>
        <v>365</v>
      </c>
      <c r="G43" s="329">
        <f>365</f>
        <v>365</v>
      </c>
      <c r="H43" s="329">
        <f>365</f>
        <v>365</v>
      </c>
      <c r="I43" s="329">
        <v>365</v>
      </c>
      <c r="J43" s="329">
        <v>365</v>
      </c>
      <c r="K43" s="329">
        <v>365</v>
      </c>
      <c r="L43" s="329">
        <v>365</v>
      </c>
    </row>
    <row r="44" spans="1:12" hidden="1" outlineLevel="1">
      <c r="A44" s="321"/>
      <c r="B44" s="321" t="s">
        <v>507</v>
      </c>
      <c r="C44" s="330">
        <v>0</v>
      </c>
      <c r="D44" s="290"/>
      <c r="E44" s="290"/>
      <c r="F44" s="290"/>
      <c r="G44" s="290"/>
      <c r="H44" s="290"/>
      <c r="I44" s="290"/>
      <c r="J44" s="290"/>
      <c r="K44" s="290"/>
      <c r="L44" s="290"/>
    </row>
    <row r="45" spans="1:12" hidden="1" outlineLevel="1">
      <c r="A45" s="323"/>
      <c r="B45" s="323" t="s">
        <v>605</v>
      </c>
      <c r="C45" s="332">
        <f>C41*C42*C43</f>
        <v>0</v>
      </c>
      <c r="D45" s="332">
        <f>D41*D42*D43</f>
        <v>968785920</v>
      </c>
      <c r="E45" s="332">
        <f t="shared" ref="E45:H45" si="7">E41*E42*E43</f>
        <v>968785920</v>
      </c>
      <c r="F45" s="332">
        <f t="shared" si="7"/>
        <v>968785920</v>
      </c>
      <c r="G45" s="332">
        <f t="shared" si="7"/>
        <v>968785920</v>
      </c>
      <c r="H45" s="332">
        <f t="shared" si="7"/>
        <v>968785920</v>
      </c>
      <c r="I45" s="332">
        <f>I41*I42*I43</f>
        <v>968785920</v>
      </c>
      <c r="J45" s="332">
        <f>J41*J42*J43</f>
        <v>968785920</v>
      </c>
      <c r="K45" s="332">
        <f>K41*K42*K43</f>
        <v>968785920</v>
      </c>
      <c r="L45" s="332">
        <f>L41*L42*L43</f>
        <v>968785920</v>
      </c>
    </row>
    <row r="46" spans="1:12" hidden="1" outlineLevel="1">
      <c r="A46" s="320"/>
      <c r="B46" s="320"/>
      <c r="C46" s="324"/>
      <c r="D46" s="290"/>
      <c r="E46" s="290"/>
      <c r="F46" s="290"/>
      <c r="G46" s="290"/>
      <c r="H46" s="290"/>
      <c r="I46" s="290"/>
      <c r="J46" s="290"/>
      <c r="K46" s="290"/>
      <c r="L46" s="290"/>
    </row>
    <row r="47" spans="1:12" hidden="1" outlineLevel="1">
      <c r="A47" s="190"/>
      <c r="B47" s="190"/>
      <c r="C47" s="290"/>
      <c r="D47" s="290"/>
      <c r="E47" s="290"/>
      <c r="F47" s="290"/>
      <c r="G47" s="290"/>
      <c r="H47" s="290"/>
      <c r="I47" s="290"/>
      <c r="J47" s="290"/>
      <c r="K47" s="290"/>
      <c r="L47" s="290"/>
    </row>
    <row r="48" spans="1:12" hidden="1" outlineLevel="1">
      <c r="A48" s="321"/>
      <c r="B48" s="321" t="s">
        <v>603</v>
      </c>
      <c r="C48" s="325">
        <v>0</v>
      </c>
      <c r="D48" s="331">
        <f>Assumptions!B17</f>
        <v>884736</v>
      </c>
      <c r="E48" s="331">
        <f>Assumptions!B17</f>
        <v>884736</v>
      </c>
      <c r="F48" s="331">
        <f>Assumptions!B17</f>
        <v>884736</v>
      </c>
      <c r="G48" s="331">
        <f>Assumptions!B17</f>
        <v>884736</v>
      </c>
      <c r="H48" s="331">
        <f>Assumptions!B17</f>
        <v>884736</v>
      </c>
      <c r="I48" s="331">
        <f>Assumptions!B17</f>
        <v>884736</v>
      </c>
      <c r="J48" s="331">
        <f>Assumptions!B17</f>
        <v>884736</v>
      </c>
      <c r="K48" s="331">
        <f>Assumptions!B17</f>
        <v>884736</v>
      </c>
      <c r="L48" s="331">
        <f>Assumptions!B17</f>
        <v>884736</v>
      </c>
    </row>
    <row r="49" spans="1:12" hidden="1" outlineLevel="1">
      <c r="A49" s="322"/>
      <c r="B49" s="322" t="s">
        <v>602</v>
      </c>
      <c r="C49" s="327">
        <f>D3</f>
        <v>3</v>
      </c>
      <c r="D49" s="328">
        <f>Assumptions!B20*(1+Assumptions!B21)^1</f>
        <v>3</v>
      </c>
      <c r="E49" s="328">
        <f>Assumptions!B20*(1+Assumptions!B21)^2</f>
        <v>3</v>
      </c>
      <c r="F49" s="328">
        <f>Assumptions!B20*(1+Assumptions!B21)^3</f>
        <v>3</v>
      </c>
      <c r="G49" s="328">
        <f>Assumptions!B20*(1+Assumptions!B21)^4</f>
        <v>3</v>
      </c>
      <c r="H49" s="328">
        <f>Assumptions!B20*(1+Assumptions!B21)^5</f>
        <v>3</v>
      </c>
      <c r="I49" s="328">
        <f>Assumptions!B20</f>
        <v>3</v>
      </c>
      <c r="J49" s="328">
        <f>Assumptions!B20</f>
        <v>3</v>
      </c>
      <c r="K49" s="328">
        <f>Assumptions!B20</f>
        <v>3</v>
      </c>
      <c r="L49" s="328">
        <f>Assumptions!B20</f>
        <v>3</v>
      </c>
    </row>
    <row r="50" spans="1:12" hidden="1" outlineLevel="1">
      <c r="A50" s="321"/>
      <c r="B50" s="321" t="s">
        <v>604</v>
      </c>
      <c r="C50" s="325">
        <v>0</v>
      </c>
      <c r="D50" s="325">
        <f>Assumptions!B22*D4</f>
        <v>255.49999999999997</v>
      </c>
      <c r="E50" s="325">
        <f>Assumptions!B22*E4</f>
        <v>292</v>
      </c>
      <c r="F50" s="325">
        <f>Assumptions!B22*F4</f>
        <v>328.5</v>
      </c>
      <c r="G50" s="325">
        <f>Assumptions!B22*G4</f>
        <v>328.5</v>
      </c>
      <c r="H50" s="325">
        <f>Assumptions!B22*H4</f>
        <v>328.5</v>
      </c>
      <c r="I50" s="325">
        <f>Assumptions!B22*I4</f>
        <v>328.5</v>
      </c>
      <c r="J50" s="325">
        <f>Assumptions!B22*J4</f>
        <v>328.5</v>
      </c>
      <c r="K50" s="325">
        <f>Assumptions!B22*K4</f>
        <v>328.5</v>
      </c>
      <c r="L50" s="325">
        <f>Assumptions!B22*L4</f>
        <v>328.5</v>
      </c>
    </row>
    <row r="51" spans="1:12" hidden="1" outlineLevel="1">
      <c r="A51" s="321"/>
      <c r="B51" s="321" t="s">
        <v>507</v>
      </c>
      <c r="C51" s="330">
        <v>0</v>
      </c>
      <c r="D51" s="290"/>
      <c r="E51" s="290"/>
      <c r="F51" s="290"/>
      <c r="G51" s="290"/>
      <c r="H51" s="290"/>
      <c r="I51" s="290"/>
      <c r="J51" s="290"/>
      <c r="K51" s="290"/>
      <c r="L51" s="290"/>
    </row>
    <row r="52" spans="1:12" hidden="1" outlineLevel="1">
      <c r="A52" s="323"/>
      <c r="B52" s="323" t="s">
        <v>605</v>
      </c>
      <c r="C52" s="332">
        <v>0</v>
      </c>
      <c r="D52" s="332">
        <f>D48*D49*D50</f>
        <v>678150143.99999988</v>
      </c>
      <c r="E52" s="332">
        <f t="shared" ref="E52:H52" si="8">E48*E49*E50</f>
        <v>775028736</v>
      </c>
      <c r="F52" s="332">
        <f t="shared" si="8"/>
        <v>871907328</v>
      </c>
      <c r="G52" s="332">
        <f t="shared" si="8"/>
        <v>871907328</v>
      </c>
      <c r="H52" s="332">
        <f t="shared" si="8"/>
        <v>871907328</v>
      </c>
      <c r="I52" s="332">
        <f>I48*I49*I50</f>
        <v>871907328</v>
      </c>
      <c r="J52" s="332">
        <f>J48*J49*J50</f>
        <v>871907328</v>
      </c>
      <c r="K52" s="332">
        <f>K48*K49*K50</f>
        <v>871907328</v>
      </c>
      <c r="L52" s="332">
        <f>L48*L49*L50</f>
        <v>871907328</v>
      </c>
    </row>
    <row r="53" spans="1:12" collapsed="1">
      <c r="A53" s="190"/>
      <c r="B53" s="190"/>
      <c r="C53" s="190"/>
      <c r="D53" s="190"/>
      <c r="E53" s="190"/>
      <c r="F53" s="190"/>
      <c r="G53" s="190"/>
      <c r="H53" s="190"/>
      <c r="I53" s="190"/>
      <c r="J53" s="190"/>
      <c r="K53" s="190"/>
      <c r="L53" s="190"/>
    </row>
    <row r="54" spans="1:12">
      <c r="A54" s="190"/>
      <c r="B54" s="190"/>
      <c r="C54" s="190"/>
      <c r="D54" s="190"/>
      <c r="E54" s="190"/>
      <c r="F54" s="190"/>
      <c r="G54" s="190"/>
      <c r="H54" s="190"/>
      <c r="I54" s="190"/>
      <c r="J54" s="190"/>
      <c r="K54" s="190"/>
      <c r="L54" s="190"/>
    </row>
    <row r="55" spans="1:12" hidden="1" outlineLevel="1">
      <c r="A55" s="381" t="s">
        <v>594</v>
      </c>
      <c r="B55" s="381"/>
      <c r="C55" s="381"/>
      <c r="D55" s="381"/>
      <c r="E55" s="381"/>
      <c r="F55" s="381"/>
      <c r="G55" s="381"/>
      <c r="H55" s="381"/>
      <c r="I55" s="190"/>
    </row>
    <row r="56" spans="1:12" collapsed="1">
      <c r="A56" s="190"/>
      <c r="B56" s="190"/>
      <c r="C56" s="190"/>
      <c r="D56" s="190"/>
      <c r="E56" s="190"/>
      <c r="F56" s="190"/>
      <c r="G56" s="190"/>
      <c r="H56" s="190"/>
      <c r="I56" s="190"/>
      <c r="J56" s="190"/>
      <c r="K56" s="190"/>
      <c r="L56" s="190"/>
    </row>
    <row r="57" spans="1:12">
      <c r="A57" s="190"/>
      <c r="B57" s="190"/>
      <c r="C57" s="190"/>
      <c r="D57" s="190"/>
      <c r="E57" s="190"/>
      <c r="F57" s="190"/>
      <c r="G57" s="190"/>
      <c r="H57" s="190"/>
      <c r="I57" s="190"/>
      <c r="J57" s="190"/>
      <c r="K57" s="190"/>
      <c r="L57" s="190"/>
    </row>
    <row r="58" spans="1:12">
      <c r="A58" s="190"/>
      <c r="B58" s="190"/>
      <c r="C58" s="190"/>
      <c r="D58" s="190"/>
      <c r="E58" s="190"/>
      <c r="F58" s="190"/>
      <c r="G58" s="190"/>
      <c r="H58" s="190"/>
      <c r="I58" s="190"/>
      <c r="J58" s="190"/>
      <c r="K58" s="190"/>
      <c r="L58" s="190"/>
    </row>
    <row r="59" spans="1:12" hidden="1" outlineLevel="1">
      <c r="A59" s="333" t="s">
        <v>528</v>
      </c>
      <c r="B59" s="333"/>
      <c r="C59" s="261">
        <v>2026</v>
      </c>
      <c r="D59" s="261">
        <v>2027</v>
      </c>
      <c r="E59" s="261">
        <v>2028</v>
      </c>
      <c r="F59" s="261">
        <v>2029</v>
      </c>
      <c r="G59" s="261">
        <v>2030</v>
      </c>
      <c r="H59" s="261">
        <v>2031</v>
      </c>
      <c r="I59" s="261">
        <f>I12</f>
        <v>2032</v>
      </c>
      <c r="J59" s="261">
        <f>J12</f>
        <v>2033</v>
      </c>
      <c r="K59" s="261">
        <f>K12</f>
        <v>2034</v>
      </c>
      <c r="L59" s="261">
        <f>L12</f>
        <v>2035</v>
      </c>
    </row>
    <row r="60" spans="1:12" hidden="1" outlineLevel="1">
      <c r="A60" s="288" t="s">
        <v>1535</v>
      </c>
      <c r="B60" s="334"/>
      <c r="C60" s="190"/>
      <c r="D60" s="190"/>
      <c r="E60" s="190"/>
      <c r="F60" s="190"/>
      <c r="G60" s="190"/>
      <c r="H60" s="190"/>
      <c r="I60" s="190"/>
      <c r="J60" s="190"/>
      <c r="K60" s="190"/>
      <c r="L60" s="190"/>
    </row>
    <row r="61" spans="1:12" hidden="1" outlineLevel="1">
      <c r="A61" s="255" t="s">
        <v>530</v>
      </c>
      <c r="B61" s="287"/>
      <c r="C61" s="287">
        <f t="shared" ref="C61:H61" si="9">C62*C63*C64</f>
        <v>0</v>
      </c>
      <c r="D61" s="287">
        <f>D62*D63*D64</f>
        <v>148044000</v>
      </c>
      <c r="E61" s="287">
        <f t="shared" si="9"/>
        <v>152485320</v>
      </c>
      <c r="F61" s="287">
        <f t="shared" si="9"/>
        <v>157059879.59999999</v>
      </c>
      <c r="G61" s="287">
        <f t="shared" si="9"/>
        <v>161771675.98799998</v>
      </c>
      <c r="H61" s="287">
        <f t="shared" si="9"/>
        <v>166624826.26763996</v>
      </c>
      <c r="I61" s="287">
        <f>I62*I63*I64</f>
        <v>171623571.05566919</v>
      </c>
      <c r="J61" s="287">
        <f>J62*J63*J64</f>
        <v>176772278.18733925</v>
      </c>
      <c r="K61" s="287">
        <f>K62*K63*K64</f>
        <v>182075446.53295943</v>
      </c>
      <c r="L61" s="287">
        <f>L62*L63*L64</f>
        <v>187537709.92894822</v>
      </c>
    </row>
    <row r="62" spans="1:12" hidden="1" outlineLevel="1">
      <c r="A62" s="255" t="s">
        <v>621</v>
      </c>
      <c r="B62" s="336"/>
      <c r="C62" s="336">
        <v>0</v>
      </c>
      <c r="D62" s="336">
        <f t="shared" ref="D62:H62" si="10">24*365</f>
        <v>8760</v>
      </c>
      <c r="E62" s="336">
        <f t="shared" si="10"/>
        <v>8760</v>
      </c>
      <c r="F62" s="336">
        <f t="shared" si="10"/>
        <v>8760</v>
      </c>
      <c r="G62" s="336">
        <f t="shared" si="10"/>
        <v>8760</v>
      </c>
      <c r="H62" s="336">
        <f t="shared" si="10"/>
        <v>8760</v>
      </c>
      <c r="I62" s="336">
        <v>8760</v>
      </c>
      <c r="J62" s="336">
        <v>8760</v>
      </c>
      <c r="K62" s="336">
        <v>8760</v>
      </c>
      <c r="L62" s="336">
        <v>8760</v>
      </c>
    </row>
    <row r="63" spans="1:12" hidden="1" outlineLevel="1">
      <c r="A63" s="255" t="s">
        <v>610</v>
      </c>
      <c r="B63" s="337"/>
      <c r="C63" s="338">
        <f>Assumptions!$B$31</f>
        <v>130</v>
      </c>
      <c r="D63" s="338">
        <f>Assumptions!$B$31</f>
        <v>130</v>
      </c>
      <c r="E63" s="338">
        <f>D63*(1+Assumptions!$B$32)</f>
        <v>133.9</v>
      </c>
      <c r="F63" s="338">
        <f>E63*(1+Assumptions!$B$32)</f>
        <v>137.917</v>
      </c>
      <c r="G63" s="338">
        <f>F63*(1+Assumptions!$B$32)</f>
        <v>142.05450999999999</v>
      </c>
      <c r="H63" s="338">
        <f>G63*(1+Assumptions!$B$32)</f>
        <v>146.31614529999999</v>
      </c>
      <c r="I63" s="338">
        <f>H63*(1+Assumptions!$B$32)</f>
        <v>150.70562965899998</v>
      </c>
      <c r="J63" s="338">
        <f>I63*(1+Assumptions!$B$32)</f>
        <v>155.22679854876998</v>
      </c>
      <c r="K63" s="338">
        <f>J63*(1+Assumptions!$B$32)</f>
        <v>159.88360250523309</v>
      </c>
      <c r="L63" s="338">
        <f>K63*(1+Assumptions!$B$32)</f>
        <v>164.68011058039008</v>
      </c>
    </row>
    <row r="64" spans="1:12" hidden="1" outlineLevel="1">
      <c r="A64" s="255" t="s">
        <v>622</v>
      </c>
      <c r="B64" s="336"/>
      <c r="C64" s="275">
        <f>Assumptions!B29</f>
        <v>130</v>
      </c>
      <c r="D64" s="275">
        <f>Assumptions!B29</f>
        <v>130</v>
      </c>
      <c r="E64" s="275">
        <f>Assumptions!B29</f>
        <v>130</v>
      </c>
      <c r="F64" s="275">
        <f>Assumptions!B29</f>
        <v>130</v>
      </c>
      <c r="G64" s="275">
        <f>Assumptions!B29</f>
        <v>130</v>
      </c>
      <c r="H64" s="275">
        <f>Assumptions!B29</f>
        <v>130</v>
      </c>
      <c r="I64" s="275">
        <f>Assumptions!B29</f>
        <v>130</v>
      </c>
      <c r="J64" s="275">
        <f>Assumptions!B29</f>
        <v>130</v>
      </c>
      <c r="K64" s="275">
        <f>Assumptions!B29</f>
        <v>130</v>
      </c>
      <c r="L64" s="275">
        <f>Assumptions!B29</f>
        <v>130</v>
      </c>
    </row>
    <row r="65" spans="1:12" hidden="1" outlineLevel="1">
      <c r="A65" s="255"/>
      <c r="B65" s="252"/>
      <c r="C65" s="190"/>
      <c r="D65" s="190"/>
      <c r="E65" s="190"/>
      <c r="F65" s="190"/>
      <c r="G65" s="190"/>
      <c r="H65" s="190"/>
      <c r="I65" s="190"/>
      <c r="J65" s="190"/>
      <c r="K65" s="190"/>
      <c r="L65" s="190"/>
    </row>
    <row r="66" spans="1:12" hidden="1" outlineLevel="1">
      <c r="A66" s="255"/>
      <c r="B66" s="252"/>
      <c r="C66" s="190"/>
      <c r="D66" s="190"/>
      <c r="E66" s="190"/>
      <c r="F66" s="190"/>
      <c r="G66" s="190"/>
      <c r="H66" s="190"/>
      <c r="I66" s="190"/>
      <c r="J66" s="190"/>
      <c r="K66" s="190"/>
      <c r="L66" s="190"/>
    </row>
    <row r="67" spans="1:12" ht="21" hidden="1" customHeight="1" outlineLevel="1">
      <c r="A67" s="333" t="s">
        <v>528</v>
      </c>
      <c r="B67" s="333"/>
      <c r="C67" s="261">
        <v>2026</v>
      </c>
      <c r="D67" s="261">
        <v>2027</v>
      </c>
      <c r="E67" s="261">
        <v>2028</v>
      </c>
      <c r="F67" s="261">
        <v>2029</v>
      </c>
      <c r="G67" s="261">
        <v>2030</v>
      </c>
      <c r="H67" s="261">
        <v>2031</v>
      </c>
      <c r="I67" s="261">
        <f>I12</f>
        <v>2032</v>
      </c>
      <c r="J67" s="261">
        <f>J12</f>
        <v>2033</v>
      </c>
      <c r="K67" s="261">
        <f>K12</f>
        <v>2034</v>
      </c>
      <c r="L67" s="261">
        <f>L12</f>
        <v>2035</v>
      </c>
    </row>
    <row r="68" spans="1:12" hidden="1" outlineLevel="1">
      <c r="A68" s="288" t="s">
        <v>1536</v>
      </c>
      <c r="B68" s="334"/>
      <c r="C68" s="190"/>
      <c r="D68" s="190"/>
      <c r="E68" s="190"/>
      <c r="F68" s="190"/>
      <c r="G68" s="190"/>
      <c r="H68" s="190"/>
      <c r="I68" s="190"/>
      <c r="J68" s="190"/>
      <c r="K68" s="190"/>
      <c r="L68" s="190"/>
    </row>
    <row r="69" spans="1:12" hidden="1" outlineLevel="1">
      <c r="A69" s="255" t="s">
        <v>530</v>
      </c>
      <c r="B69" s="287"/>
      <c r="C69" s="287">
        <f>C70*C71*C72</f>
        <v>0</v>
      </c>
      <c r="D69" s="287">
        <f>D70*D71*D72</f>
        <v>89281919.999999985</v>
      </c>
      <c r="E69" s="287">
        <f t="shared" ref="E69" si="11">E70*E71*E72</f>
        <v>105097574.40000001</v>
      </c>
      <c r="F69" s="287">
        <f t="shared" ref="F69" si="12">F70*F71*F72</f>
        <v>121781814.336</v>
      </c>
      <c r="G69" s="287">
        <f t="shared" ref="G69" si="13">G70*G71*G72</f>
        <v>125435268.76607999</v>
      </c>
      <c r="H69" s="287">
        <f t="shared" ref="H69" si="14">H70*H71*H72</f>
        <v>129198326.82906237</v>
      </c>
      <c r="I69" s="287">
        <f>I70*I71*I72</f>
        <v>133074276.63393426</v>
      </c>
      <c r="J69" s="287">
        <f>J70*J71*J72</f>
        <v>137066504.93295226</v>
      </c>
      <c r="K69" s="287">
        <f>K70*K71*K72</f>
        <v>141178500.08094084</v>
      </c>
      <c r="L69" s="287">
        <f>L70*L71*L72</f>
        <v>145413855.08336908</v>
      </c>
    </row>
    <row r="70" spans="1:12" hidden="1" outlineLevel="1">
      <c r="A70" s="255" t="s">
        <v>621</v>
      </c>
      <c r="B70" s="336"/>
      <c r="C70" s="336">
        <v>0</v>
      </c>
      <c r="D70" s="336">
        <f t="shared" ref="D70:H70" si="15">24*365</f>
        <v>8760</v>
      </c>
      <c r="E70" s="336">
        <f t="shared" si="15"/>
        <v>8760</v>
      </c>
      <c r="F70" s="336">
        <f t="shared" si="15"/>
        <v>8760</v>
      </c>
      <c r="G70" s="336">
        <f t="shared" si="15"/>
        <v>8760</v>
      </c>
      <c r="H70" s="336">
        <f t="shared" si="15"/>
        <v>8760</v>
      </c>
      <c r="I70" s="336">
        <v>8760</v>
      </c>
      <c r="J70" s="336">
        <v>8760</v>
      </c>
      <c r="K70" s="336">
        <v>8760</v>
      </c>
      <c r="L70" s="336">
        <v>8760</v>
      </c>
    </row>
    <row r="71" spans="1:12" hidden="1" outlineLevel="1">
      <c r="A71" s="255" t="s">
        <v>610</v>
      </c>
      <c r="B71" s="335"/>
      <c r="C71" s="338">
        <f>Assumptions!$B$31</f>
        <v>130</v>
      </c>
      <c r="D71" s="338">
        <f>Assumptions!$B$31</f>
        <v>130</v>
      </c>
      <c r="E71" s="338">
        <f>D71*(1+Assumptions!$B$32)</f>
        <v>133.9</v>
      </c>
      <c r="F71" s="338">
        <f>E71*(1+Assumptions!$B$32)</f>
        <v>137.917</v>
      </c>
      <c r="G71" s="338">
        <f>F71*(1+Assumptions!$B$32)</f>
        <v>142.05450999999999</v>
      </c>
      <c r="H71" s="338">
        <f>G71*(1+Assumptions!$B$32)</f>
        <v>146.31614529999999</v>
      </c>
      <c r="I71" s="338">
        <f>H71*(1+Assumptions!$B$32)</f>
        <v>150.70562965899998</v>
      </c>
      <c r="J71" s="338">
        <f>I71*(1+Assumptions!$B$32)</f>
        <v>155.22679854876998</v>
      </c>
      <c r="K71" s="338">
        <f>J71*(1+Assumptions!$B$32)</f>
        <v>159.88360250523309</v>
      </c>
      <c r="L71" s="338">
        <f>K71*(1+Assumptions!$B$32)</f>
        <v>164.68011058039008</v>
      </c>
    </row>
    <row r="72" spans="1:12" hidden="1" outlineLevel="1">
      <c r="A72" s="255" t="s">
        <v>622</v>
      </c>
      <c r="B72" s="336"/>
      <c r="C72" s="275">
        <f>Assumptions!B30</f>
        <v>112</v>
      </c>
      <c r="D72" s="273">
        <f>D8</f>
        <v>78.399999999999991</v>
      </c>
      <c r="E72" s="273">
        <f>E8</f>
        <v>89.600000000000009</v>
      </c>
      <c r="F72" s="273">
        <f>F8</f>
        <v>100.8</v>
      </c>
      <c r="G72" s="273">
        <f>G8</f>
        <v>100.8</v>
      </c>
      <c r="H72" s="273">
        <f>H8</f>
        <v>100.8</v>
      </c>
      <c r="I72" s="273">
        <f>I8</f>
        <v>100.8</v>
      </c>
      <c r="J72" s="273">
        <f>J8</f>
        <v>100.8</v>
      </c>
      <c r="K72" s="273">
        <f>K8</f>
        <v>100.8</v>
      </c>
      <c r="L72" s="273">
        <f>L8</f>
        <v>100.8</v>
      </c>
    </row>
    <row r="73" spans="1:12" collapsed="1">
      <c r="A73" s="255"/>
      <c r="B73" s="378"/>
      <c r="C73" s="190"/>
      <c r="D73" s="190"/>
      <c r="E73" s="380"/>
      <c r="F73" s="190"/>
      <c r="G73" s="190"/>
      <c r="H73" s="190"/>
      <c r="I73" s="190"/>
      <c r="J73" s="190"/>
      <c r="K73" s="190"/>
      <c r="L73" s="190"/>
    </row>
    <row r="74" spans="1:12" hidden="1" outlineLevel="1">
      <c r="A74" s="381" t="s">
        <v>618</v>
      </c>
      <c r="B74" s="381"/>
      <c r="C74" s="381"/>
      <c r="D74" s="381"/>
      <c r="E74" s="381"/>
      <c r="F74" s="381"/>
      <c r="G74" s="381"/>
      <c r="H74" s="381"/>
      <c r="I74" s="190"/>
    </row>
    <row r="75" spans="1:12" collapsed="1">
      <c r="A75" s="255"/>
      <c r="B75" s="252"/>
      <c r="C75" s="190"/>
      <c r="D75" s="190"/>
      <c r="E75" s="190"/>
      <c r="F75" s="190"/>
      <c r="G75" s="190"/>
      <c r="H75" s="190"/>
      <c r="I75" s="190"/>
      <c r="J75" s="190"/>
      <c r="K75" s="190"/>
      <c r="L75" s="190"/>
    </row>
    <row r="76" spans="1:12" hidden="1" outlineLevel="1">
      <c r="A76" s="265"/>
      <c r="B76" s="265" t="s">
        <v>307</v>
      </c>
      <c r="C76" s="266">
        <v>0</v>
      </c>
      <c r="D76" s="266">
        <f>Leasing!C3</f>
        <v>184320000</v>
      </c>
      <c r="E76" s="266">
        <f>Leasing!C4</f>
        <v>163839999.99999997</v>
      </c>
      <c r="F76" s="266">
        <f>Leasing!C5</f>
        <v>143359999.99999997</v>
      </c>
      <c r="G76" s="266">
        <f>Leasing!C6</f>
        <v>122879999.99999999</v>
      </c>
      <c r="H76" s="266">
        <f>Leasing!C7</f>
        <v>102399999.99999999</v>
      </c>
      <c r="I76" s="266">
        <f>Leasing!C8</f>
        <v>81919999.999999985</v>
      </c>
      <c r="J76" s="266">
        <f>Leasing!C9</f>
        <v>61440000</v>
      </c>
      <c r="K76" s="266">
        <f>Leasing!C10</f>
        <v>40960000</v>
      </c>
      <c r="L76" s="266">
        <f>Leasing!C11</f>
        <v>20480000.000000004</v>
      </c>
    </row>
    <row r="77" spans="1:12" hidden="1" outlineLevel="1">
      <c r="A77" s="190"/>
      <c r="B77" s="190"/>
      <c r="C77" s="190"/>
      <c r="D77" s="190"/>
      <c r="E77" s="190"/>
      <c r="F77" s="190"/>
      <c r="G77" s="190"/>
      <c r="H77" s="190"/>
      <c r="I77" s="190"/>
      <c r="J77" s="190"/>
      <c r="K77" s="190"/>
      <c r="L77" s="190"/>
    </row>
    <row r="78" spans="1:12" hidden="1" outlineLevel="1">
      <c r="A78" s="190"/>
      <c r="B78" s="190"/>
      <c r="C78" s="190"/>
      <c r="D78" s="190"/>
      <c r="E78" s="190"/>
      <c r="F78" s="190"/>
      <c r="G78" s="190"/>
      <c r="H78" s="190"/>
      <c r="I78" s="190"/>
      <c r="J78" s="190"/>
      <c r="K78" s="190"/>
      <c r="L78" s="190"/>
    </row>
    <row r="79" spans="1:12" hidden="1" outlineLevel="1">
      <c r="A79" s="265"/>
      <c r="B79" s="265" t="s">
        <v>307</v>
      </c>
      <c r="C79" s="266">
        <v>0</v>
      </c>
      <c r="D79" s="266">
        <f>C87</f>
        <v>184320000</v>
      </c>
      <c r="E79" s="266">
        <f>C88</f>
        <v>163839999.99999997</v>
      </c>
      <c r="F79" s="266">
        <f>C89</f>
        <v>143359999.99999997</v>
      </c>
      <c r="G79" s="266">
        <f>C90</f>
        <v>122879999.99999999</v>
      </c>
      <c r="H79" s="266">
        <f>C91</f>
        <v>102399999.99999999</v>
      </c>
      <c r="I79" s="266">
        <f>Leasing!C8</f>
        <v>81919999.999999985</v>
      </c>
      <c r="J79" s="266">
        <f>Leasing!C9</f>
        <v>61440000</v>
      </c>
      <c r="K79" s="266">
        <f>Leasing!C10</f>
        <v>40960000</v>
      </c>
      <c r="L79" s="266">
        <f>Leasing!C11</f>
        <v>20480000.000000004</v>
      </c>
    </row>
    <row r="80" spans="1:12" hidden="1" outlineLevel="1">
      <c r="A80" s="190"/>
      <c r="B80" s="190"/>
      <c r="C80" s="190"/>
      <c r="D80" s="190"/>
      <c r="E80" s="190"/>
      <c r="F80" s="190"/>
      <c r="G80" s="190"/>
      <c r="H80" s="190"/>
      <c r="I80" s="190"/>
      <c r="J80" s="190"/>
      <c r="K80" s="190"/>
      <c r="L80" s="190"/>
    </row>
    <row r="81" spans="1:12" hidden="1" outlineLevel="1">
      <c r="A81" s="190"/>
      <c r="B81" s="190"/>
      <c r="C81" s="190"/>
      <c r="D81" s="190"/>
      <c r="E81" s="190"/>
      <c r="F81" s="190"/>
      <c r="G81" s="190"/>
      <c r="H81" s="190"/>
      <c r="I81" s="190"/>
      <c r="J81" s="190"/>
      <c r="K81" s="190"/>
      <c r="L81" s="190"/>
    </row>
    <row r="82" spans="1:12" hidden="1" outlineLevel="1">
      <c r="A82" s="190"/>
      <c r="B82" s="190"/>
      <c r="C82" s="190"/>
      <c r="D82" s="190"/>
      <c r="E82" s="190"/>
      <c r="F82" s="190"/>
      <c r="G82" s="190"/>
      <c r="H82" s="190"/>
      <c r="I82" s="190"/>
      <c r="J82" s="190"/>
      <c r="K82" s="190"/>
      <c r="L82" s="190"/>
    </row>
    <row r="83" spans="1:12" hidden="1" outlineLevel="1">
      <c r="A83" s="190"/>
      <c r="B83" s="190"/>
      <c r="C83" s="190"/>
      <c r="D83" s="190"/>
      <c r="E83" s="190"/>
      <c r="F83" s="190"/>
      <c r="G83" s="190"/>
      <c r="H83" s="190"/>
      <c r="I83" s="190"/>
      <c r="J83" s="190"/>
      <c r="K83" s="190"/>
      <c r="L83" s="190"/>
    </row>
    <row r="84" spans="1:12" hidden="1" outlineLevel="1">
      <c r="A84" s="190"/>
      <c r="B84" s="190"/>
      <c r="C84" s="190"/>
      <c r="D84" s="190"/>
      <c r="E84" s="190"/>
      <c r="F84" s="190"/>
      <c r="G84" s="190"/>
      <c r="H84" s="190"/>
      <c r="I84" s="190"/>
      <c r="J84" s="190"/>
      <c r="K84" s="190"/>
      <c r="L84" s="190"/>
    </row>
    <row r="85" spans="1:12" hidden="1" outlineLevel="1">
      <c r="A85" s="339" t="s">
        <v>576</v>
      </c>
      <c r="B85" s="339" t="s">
        <v>577</v>
      </c>
      <c r="C85" s="339" t="s">
        <v>578</v>
      </c>
      <c r="D85" s="340" t="s">
        <v>579</v>
      </c>
      <c r="E85" s="263"/>
      <c r="F85" s="264"/>
      <c r="G85" s="213"/>
      <c r="H85" s="213"/>
      <c r="I85" s="213"/>
      <c r="J85" s="213"/>
      <c r="K85" s="213"/>
      <c r="L85" s="213"/>
    </row>
    <row r="86" spans="1:12" hidden="1" outlineLevel="1">
      <c r="A86" s="345">
        <v>0</v>
      </c>
      <c r="B86" s="342"/>
      <c r="C86" s="343">
        <v>0</v>
      </c>
      <c r="D86" s="346">
        <v>-3072000000</v>
      </c>
      <c r="E86" s="256"/>
      <c r="F86" s="256"/>
      <c r="G86" s="190"/>
      <c r="H86" s="190"/>
      <c r="I86" s="190"/>
      <c r="J86" s="190"/>
      <c r="K86" s="190"/>
      <c r="L86" s="190"/>
    </row>
    <row r="87" spans="1:12" hidden="1" outlineLevel="1">
      <c r="A87" s="258">
        <v>1</v>
      </c>
      <c r="B87" s="341">
        <f>Leasing!B3</f>
        <v>3072000000</v>
      </c>
      <c r="C87" s="344">
        <f>((D9/100)*B87)</f>
        <v>184320000</v>
      </c>
      <c r="D87" s="344">
        <f>B87/Assumptions!B77</f>
        <v>341333333.33333331</v>
      </c>
      <c r="E87" s="257"/>
      <c r="F87" s="257"/>
      <c r="G87" s="190"/>
      <c r="H87" s="190"/>
      <c r="I87" s="190"/>
      <c r="J87" s="190"/>
      <c r="K87" s="190"/>
      <c r="L87" s="190"/>
    </row>
    <row r="88" spans="1:12" hidden="1" outlineLevel="1">
      <c r="A88" s="258">
        <v>2</v>
      </c>
      <c r="B88" s="341">
        <f>B87-D87</f>
        <v>2730666666.6666665</v>
      </c>
      <c r="C88" s="344">
        <f>((E9/100)*B88)</f>
        <v>163839999.99999997</v>
      </c>
      <c r="D88" s="344">
        <f>D87</f>
        <v>341333333.33333331</v>
      </c>
      <c r="E88" s="257"/>
      <c r="F88" s="257"/>
      <c r="G88" s="190"/>
      <c r="H88" s="190"/>
      <c r="I88" s="190"/>
      <c r="J88" s="190"/>
      <c r="K88" s="190"/>
      <c r="L88" s="190"/>
    </row>
    <row r="89" spans="1:12" hidden="1" outlineLevel="1">
      <c r="A89" s="258">
        <v>3</v>
      </c>
      <c r="B89" s="341">
        <f t="shared" ref="B89:B91" si="16">B88-D88</f>
        <v>2389333333.333333</v>
      </c>
      <c r="C89" s="344">
        <f>((F9/100)*B89)</f>
        <v>143359999.99999997</v>
      </c>
      <c r="D89" s="344">
        <f t="shared" ref="D89:D91" si="17">D88</f>
        <v>341333333.33333331</v>
      </c>
      <c r="E89" s="257"/>
      <c r="F89" s="257"/>
      <c r="G89" s="190"/>
      <c r="H89" s="190"/>
      <c r="I89" s="190"/>
      <c r="J89" s="190"/>
      <c r="K89" s="190"/>
      <c r="L89" s="190"/>
    </row>
    <row r="90" spans="1:12" hidden="1" outlineLevel="1">
      <c r="A90" s="258">
        <v>4</v>
      </c>
      <c r="B90" s="341">
        <f t="shared" si="16"/>
        <v>2047999999.9999998</v>
      </c>
      <c r="C90" s="344">
        <f>((G9/100)*B90)</f>
        <v>122879999.99999999</v>
      </c>
      <c r="D90" s="344">
        <f t="shared" si="17"/>
        <v>341333333.33333331</v>
      </c>
      <c r="E90" s="257"/>
      <c r="F90" s="257"/>
      <c r="G90" s="190"/>
      <c r="H90" s="190"/>
      <c r="I90" s="190"/>
      <c r="J90" s="190"/>
      <c r="K90" s="190"/>
      <c r="L90" s="190"/>
    </row>
    <row r="91" spans="1:12" hidden="1" outlineLevel="1">
      <c r="A91" s="258">
        <v>5</v>
      </c>
      <c r="B91" s="341">
        <f t="shared" si="16"/>
        <v>1706666666.6666665</v>
      </c>
      <c r="C91" s="344">
        <f>((H9/100)*B91)</f>
        <v>102399999.99999999</v>
      </c>
      <c r="D91" s="344">
        <f t="shared" si="17"/>
        <v>341333333.33333331</v>
      </c>
      <c r="E91" s="257"/>
      <c r="F91" s="257"/>
      <c r="G91" s="190"/>
      <c r="H91" s="190"/>
      <c r="I91" s="190"/>
      <c r="J91" s="190"/>
      <c r="K91" s="190"/>
      <c r="L91" s="190"/>
    </row>
    <row r="92" spans="1:12" hidden="1" outlineLevel="1">
      <c r="A92" s="258">
        <v>6</v>
      </c>
      <c r="B92" s="341">
        <f>B91-D91</f>
        <v>1365333333.3333333</v>
      </c>
      <c r="C92" s="341">
        <f>Assumptions!$B$76*B92</f>
        <v>81919999.999999985</v>
      </c>
      <c r="D92" s="341">
        <f>D91</f>
        <v>341333333.33333331</v>
      </c>
      <c r="E92" s="257"/>
      <c r="F92" s="257"/>
      <c r="G92" s="190"/>
      <c r="H92" s="190"/>
      <c r="I92" s="190"/>
      <c r="J92" s="190"/>
      <c r="K92" s="190"/>
      <c r="L92" s="190"/>
    </row>
    <row r="93" spans="1:12" hidden="1" outlineLevel="1">
      <c r="A93" s="258">
        <v>7</v>
      </c>
      <c r="B93" s="341">
        <f>B92-D92</f>
        <v>1024000000</v>
      </c>
      <c r="C93" s="341">
        <f>Assumptions!$B$76*B93</f>
        <v>61440000</v>
      </c>
      <c r="D93" s="341">
        <f>D92</f>
        <v>341333333.33333331</v>
      </c>
      <c r="E93" s="257"/>
      <c r="F93" s="257"/>
      <c r="G93" s="190"/>
      <c r="H93" s="190"/>
      <c r="I93" s="190"/>
      <c r="J93" s="190"/>
      <c r="K93" s="190"/>
      <c r="L93" s="190"/>
    </row>
    <row r="94" spans="1:12" ht="15" hidden="1" outlineLevel="1" thickBot="1">
      <c r="A94" s="258">
        <v>8</v>
      </c>
      <c r="B94" s="341">
        <f>B93-D93</f>
        <v>682666666.66666675</v>
      </c>
      <c r="C94" s="278">
        <f>Assumptions!$B$76*B94</f>
        <v>40960000</v>
      </c>
      <c r="D94" s="278">
        <f>D93</f>
        <v>341333333.33333331</v>
      </c>
      <c r="E94" s="267">
        <f>C94+D94</f>
        <v>382293333.33333331</v>
      </c>
      <c r="F94" s="267"/>
      <c r="G94" s="190"/>
      <c r="H94" s="190"/>
      <c r="I94" s="190"/>
      <c r="J94" s="190"/>
      <c r="K94" s="190"/>
      <c r="L94" s="190"/>
    </row>
    <row r="95" spans="1:12" ht="15" hidden="1" outlineLevel="1" thickTop="1">
      <c r="A95" s="258">
        <v>9</v>
      </c>
      <c r="B95" s="448">
        <f>B94-D94</f>
        <v>341333333.33333343</v>
      </c>
      <c r="C95" s="448">
        <f>Assumptions!$B$76*B95</f>
        <v>20480000.000000004</v>
      </c>
      <c r="D95" s="258">
        <f>D94</f>
        <v>341333333.33333331</v>
      </c>
      <c r="E95" s="258"/>
      <c r="F95" s="258"/>
      <c r="G95" s="190"/>
      <c r="H95" s="190"/>
      <c r="I95" s="190"/>
      <c r="J95" s="190"/>
      <c r="K95" s="190"/>
      <c r="L95" s="190"/>
    </row>
    <row r="96" spans="1:12" hidden="1" outlineLevel="1">
      <c r="A96" s="271"/>
      <c r="B96" s="271" t="s">
        <v>582</v>
      </c>
      <c r="C96" s="269">
        <f>SUM(C87:C95)</f>
        <v>921600000</v>
      </c>
      <c r="D96" s="258">
        <f>SUM(D87:D95)</f>
        <v>3072000000</v>
      </c>
      <c r="E96" s="449">
        <f>C96+D96</f>
        <v>3993600000</v>
      </c>
      <c r="F96" s="258"/>
      <c r="G96" s="190"/>
      <c r="H96" s="190"/>
      <c r="I96" s="190"/>
      <c r="J96" s="190"/>
      <c r="K96" s="190"/>
      <c r="L96" s="190"/>
    </row>
    <row r="97" spans="1:12" hidden="1" outlineLevel="1">
      <c r="A97" s="268"/>
      <c r="B97" s="268"/>
      <c r="C97" s="270">
        <f>C94/D94</f>
        <v>0.12000000000000001</v>
      </c>
      <c r="D97" s="258"/>
      <c r="E97" s="258"/>
      <c r="F97" s="258"/>
      <c r="G97" s="190"/>
      <c r="H97" s="190"/>
      <c r="I97" s="190"/>
      <c r="J97" s="190"/>
      <c r="K97" s="190"/>
      <c r="L97" s="190"/>
    </row>
    <row r="98" spans="1:12" collapsed="1"/>
  </sheetData>
  <mergeCells count="3">
    <mergeCell ref="A55:H55"/>
    <mergeCell ref="A38:H38"/>
    <mergeCell ref="A74:H74"/>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2">
    <tabColor theme="3"/>
  </sheetPr>
  <dimension ref="A1:P158"/>
  <sheetViews>
    <sheetView showGridLines="0" zoomScale="115" zoomScaleNormal="115" workbookViewId="0">
      <selection activeCell="F6" sqref="F6:O6"/>
    </sheetView>
  </sheetViews>
  <sheetFormatPr defaultColWidth="9" defaultRowHeight="14.25" outlineLevelRow="1"/>
  <cols>
    <col min="1" max="2" width="2.375" style="4" customWidth="1"/>
    <col min="3" max="3" width="2.125" style="2" customWidth="1"/>
    <col min="4" max="4" width="50.625" style="2" hidden="1" customWidth="1"/>
    <col min="5" max="5" width="50.625" style="2" customWidth="1"/>
    <col min="6" max="15" width="12.625" style="3" customWidth="1"/>
    <col min="16" max="16384" width="9" style="4"/>
  </cols>
  <sheetData>
    <row r="1" spans="1:15" ht="8.25" customHeight="1">
      <c r="A1" s="480"/>
      <c r="B1" s="480"/>
      <c r="C1" s="480"/>
      <c r="D1" s="480"/>
      <c r="E1" s="480"/>
      <c r="F1" s="481"/>
      <c r="G1" s="481"/>
      <c r="H1" s="481"/>
      <c r="I1" s="481"/>
      <c r="J1" s="481"/>
      <c r="K1" s="481"/>
      <c r="L1" s="481"/>
      <c r="M1" s="481"/>
      <c r="N1" s="481"/>
      <c r="O1" s="481"/>
    </row>
    <row r="2" spans="1:15" ht="8.25" customHeight="1">
      <c r="A2" s="480"/>
      <c r="B2" s="480"/>
      <c r="C2" s="480"/>
      <c r="D2" s="480"/>
      <c r="E2" s="480"/>
      <c r="F2" s="481"/>
      <c r="G2" s="481"/>
      <c r="H2" s="481"/>
      <c r="I2" s="481"/>
      <c r="J2" s="481"/>
      <c r="K2" s="481"/>
      <c r="L2" s="481"/>
      <c r="M2" s="481"/>
      <c r="N2" s="481"/>
      <c r="O2" s="481"/>
    </row>
    <row r="3" spans="1:15">
      <c r="A3" s="480"/>
      <c r="B3" s="480"/>
      <c r="C3" s="480"/>
      <c r="D3" s="480"/>
      <c r="E3" s="480"/>
      <c r="F3" s="481"/>
      <c r="G3" s="487"/>
      <c r="H3" s="481"/>
      <c r="I3" s="481"/>
      <c r="J3" s="481"/>
      <c r="K3" s="481"/>
      <c r="L3" s="481"/>
      <c r="M3" s="481"/>
      <c r="N3" s="481"/>
      <c r="O3" s="481"/>
    </row>
    <row r="4" spans="1:15">
      <c r="A4" s="488"/>
      <c r="B4" s="488"/>
      <c r="C4" s="489" t="s">
        <v>0</v>
      </c>
      <c r="D4" s="488"/>
      <c r="E4" s="489" t="s">
        <v>1</v>
      </c>
      <c r="F4" s="492" t="s">
        <v>1384</v>
      </c>
      <c r="G4" s="491"/>
      <c r="H4" s="490"/>
      <c r="I4" s="490"/>
      <c r="J4" s="490"/>
      <c r="K4" s="490"/>
      <c r="L4" s="490"/>
      <c r="M4" s="490"/>
      <c r="N4" s="490"/>
      <c r="O4" s="490"/>
    </row>
    <row r="5" spans="1:15">
      <c r="A5" s="480"/>
      <c r="B5" s="480"/>
      <c r="C5" s="480"/>
      <c r="D5" s="480"/>
      <c r="E5" s="480"/>
      <c r="F5" s="493"/>
      <c r="G5" s="481"/>
      <c r="H5" s="481"/>
      <c r="I5" s="481"/>
      <c r="J5" s="481"/>
      <c r="K5" s="481"/>
      <c r="L5" s="481"/>
      <c r="M5" s="481"/>
      <c r="N5" s="481"/>
      <c r="O5" s="481"/>
    </row>
    <row r="6" spans="1:15" s="5" customFormat="1" ht="15">
      <c r="A6" s="480"/>
      <c r="B6" s="480"/>
      <c r="C6" s="495"/>
      <c r="D6" s="495"/>
      <c r="E6" s="495" t="s">
        <v>2</v>
      </c>
      <c r="F6" s="574">
        <v>2026</v>
      </c>
      <c r="G6" s="574">
        <f t="shared" ref="G6:K6" si="0">F6+1</f>
        <v>2027</v>
      </c>
      <c r="H6" s="574">
        <f t="shared" si="0"/>
        <v>2028</v>
      </c>
      <c r="I6" s="574">
        <f t="shared" si="0"/>
        <v>2029</v>
      </c>
      <c r="J6" s="574">
        <f t="shared" si="0"/>
        <v>2030</v>
      </c>
      <c r="K6" s="574">
        <f t="shared" si="0"/>
        <v>2031</v>
      </c>
      <c r="L6" s="574">
        <f>K6+1</f>
        <v>2032</v>
      </c>
      <c r="M6" s="574">
        <f>L6+1</f>
        <v>2033</v>
      </c>
      <c r="N6" s="574">
        <f>M6+1</f>
        <v>2034</v>
      </c>
      <c r="O6" s="574">
        <f>N6+1</f>
        <v>2035</v>
      </c>
    </row>
    <row r="7" spans="1:15" s="5" customFormat="1" ht="15">
      <c r="A7" s="480"/>
      <c r="B7" s="480"/>
      <c r="C7" s="498" t="s">
        <v>3</v>
      </c>
      <c r="D7" s="498" t="s">
        <v>4</v>
      </c>
      <c r="E7" s="498" t="s">
        <v>5</v>
      </c>
      <c r="F7" s="550">
        <f>SUM(F8,F13,F22,F26,F46)</f>
        <v>3672050000</v>
      </c>
      <c r="G7" s="550">
        <f t="shared" ref="G7" si="1">SUM(G8,G13,G22,G26,G46)</f>
        <v>3106145000</v>
      </c>
      <c r="H7" s="550">
        <f t="shared" ref="H7" si="2">SUM(H8,H13,H22,H26,H46)</f>
        <v>2649452000</v>
      </c>
      <c r="I7" s="550">
        <f t="shared" ref="I7" si="3">SUM(I8,I13,I22,I26,I46)</f>
        <v>2280325475</v>
      </c>
      <c r="J7" s="550">
        <f t="shared" ref="J7" si="4">SUM(J8,J13,J22,J26,J46)</f>
        <v>2181439543.75</v>
      </c>
      <c r="K7" s="550">
        <f>SUM(K8,K13,K22,K26,K46)</f>
        <v>2298924407.3125</v>
      </c>
      <c r="L7" s="550">
        <f>SUM(L8,L13,L22,L26,L46)</f>
        <v>1989675512.371875</v>
      </c>
      <c r="M7" s="550">
        <f>SUM(M8,M13,M22,M26,M46)</f>
        <v>1739200884.5607812</v>
      </c>
      <c r="N7" s="550">
        <f>SUM(N8,N13,N22,N26,N46)</f>
        <v>1535898991.2469923</v>
      </c>
      <c r="O7" s="550">
        <f>SUM(O8,O13,O22,O26,O46)</f>
        <v>1370481023.5807176</v>
      </c>
    </row>
    <row r="8" spans="1:15" s="5" customFormat="1" ht="15">
      <c r="A8" s="480"/>
      <c r="B8" s="480"/>
      <c r="C8" s="504" t="s">
        <v>6</v>
      </c>
      <c r="D8" s="504" t="s">
        <v>7</v>
      </c>
      <c r="E8" s="504" t="s">
        <v>8</v>
      </c>
      <c r="F8" s="551">
        <f t="shared" ref="F8" si="5">SUM(F9:F12)</f>
        <v>100000</v>
      </c>
      <c r="G8" s="551">
        <f t="shared" ref="G8" si="6">SUM(G9:G12)</f>
        <v>190000</v>
      </c>
      <c r="H8" s="551">
        <f t="shared" ref="H8" si="7">SUM(H9:H12)</f>
        <v>271000</v>
      </c>
      <c r="I8" s="551">
        <f t="shared" ref="I8" si="8">SUM(I9:I12)</f>
        <v>343900</v>
      </c>
      <c r="J8" s="551">
        <f t="shared" ref="J8:K8" si="9">SUM(J9:J12)</f>
        <v>409510</v>
      </c>
      <c r="K8" s="551">
        <f t="shared" si="9"/>
        <v>468559</v>
      </c>
      <c r="L8" s="551">
        <f>SUM(L9:L12)</f>
        <v>521703.1</v>
      </c>
      <c r="M8" s="551">
        <f>SUM(M9:M12)</f>
        <v>569532.79</v>
      </c>
      <c r="N8" s="551">
        <f>SUM(N9:N12)</f>
        <v>612579.51100000006</v>
      </c>
      <c r="O8" s="551">
        <f>SUM(O9:O12)</f>
        <v>651321.55989999999</v>
      </c>
    </row>
    <row r="9" spans="1:15">
      <c r="A9" s="480"/>
      <c r="B9" s="480"/>
      <c r="C9" s="483" t="s">
        <v>9</v>
      </c>
      <c r="D9" s="480" t="s">
        <v>10</v>
      </c>
      <c r="E9" s="480" t="s">
        <v>11</v>
      </c>
      <c r="F9" s="552">
        <f>'D&amp;A CAPEX'!G8</f>
        <v>100000</v>
      </c>
      <c r="G9" s="552">
        <f>'D&amp;A CAPEX'!H8</f>
        <v>190000</v>
      </c>
      <c r="H9" s="552">
        <f>'D&amp;A CAPEX'!I8</f>
        <v>271000</v>
      </c>
      <c r="I9" s="552">
        <f>'D&amp;A CAPEX'!J8</f>
        <v>343900</v>
      </c>
      <c r="J9" s="552">
        <f>'D&amp;A CAPEX'!K8</f>
        <v>409510</v>
      </c>
      <c r="K9" s="552">
        <f>'D&amp;A CAPEX'!L8</f>
        <v>468559</v>
      </c>
      <c r="L9" s="552">
        <f>'D&amp;A CAPEX'!M8</f>
        <v>521703.1</v>
      </c>
      <c r="M9" s="552">
        <f>'D&amp;A CAPEX'!N8</f>
        <v>569532.79</v>
      </c>
      <c r="N9" s="552">
        <f>'D&amp;A CAPEX'!O8</f>
        <v>612579.51100000006</v>
      </c>
      <c r="O9" s="552">
        <f>'D&amp;A CAPEX'!P8</f>
        <v>651321.55989999999</v>
      </c>
    </row>
    <row r="10" spans="1:15">
      <c r="A10" s="480"/>
      <c r="B10" s="480"/>
      <c r="C10" s="483" t="s">
        <v>12</v>
      </c>
      <c r="D10" s="480" t="s">
        <v>13</v>
      </c>
      <c r="E10" s="480" t="s">
        <v>14</v>
      </c>
      <c r="F10" s="552"/>
      <c r="G10" s="552"/>
      <c r="H10" s="552"/>
      <c r="I10" s="552"/>
      <c r="J10" s="552"/>
      <c r="K10" s="552"/>
      <c r="L10" s="552"/>
      <c r="M10" s="552"/>
      <c r="N10" s="552"/>
      <c r="O10" s="552"/>
    </row>
    <row r="11" spans="1:15">
      <c r="A11" s="480"/>
      <c r="B11" s="480"/>
      <c r="C11" s="483" t="s">
        <v>15</v>
      </c>
      <c r="D11" s="480" t="s">
        <v>16</v>
      </c>
      <c r="E11" s="480" t="s">
        <v>17</v>
      </c>
      <c r="F11" s="552">
        <f>'D&amp;A CAPEX'!G9</f>
        <v>0</v>
      </c>
      <c r="G11" s="552">
        <f>'D&amp;A CAPEX'!H9</f>
        <v>0</v>
      </c>
      <c r="H11" s="552">
        <f>'D&amp;A CAPEX'!I9</f>
        <v>0</v>
      </c>
      <c r="I11" s="552">
        <f>'D&amp;A CAPEX'!J9</f>
        <v>0</v>
      </c>
      <c r="J11" s="552">
        <f>'D&amp;A CAPEX'!K9</f>
        <v>0</v>
      </c>
      <c r="K11" s="552">
        <f>'D&amp;A CAPEX'!L9</f>
        <v>0</v>
      </c>
      <c r="L11" s="552">
        <f>'D&amp;A CAPEX'!M9</f>
        <v>0</v>
      </c>
      <c r="M11" s="552">
        <f>'D&amp;A CAPEX'!N9</f>
        <v>0</v>
      </c>
      <c r="N11" s="552">
        <f>'D&amp;A CAPEX'!O9</f>
        <v>0</v>
      </c>
      <c r="O11" s="552">
        <f>'D&amp;A CAPEX'!P9</f>
        <v>0</v>
      </c>
    </row>
    <row r="12" spans="1:15">
      <c r="A12" s="480"/>
      <c r="B12" s="480"/>
      <c r="C12" s="483" t="s">
        <v>18</v>
      </c>
      <c r="D12" s="480" t="s">
        <v>19</v>
      </c>
      <c r="E12" s="480" t="s">
        <v>20</v>
      </c>
      <c r="F12" s="552"/>
      <c r="G12" s="552"/>
      <c r="H12" s="552"/>
      <c r="I12" s="552"/>
      <c r="J12" s="552"/>
      <c r="K12" s="552"/>
      <c r="L12" s="552"/>
      <c r="M12" s="552"/>
      <c r="N12" s="552"/>
      <c r="O12" s="552"/>
    </row>
    <row r="13" spans="1:15" s="5" customFormat="1" ht="15">
      <c r="A13" s="480"/>
      <c r="B13" s="480"/>
      <c r="C13" s="504" t="s">
        <v>21</v>
      </c>
      <c r="D13" s="504" t="s">
        <v>22</v>
      </c>
      <c r="E13" s="504" t="s">
        <v>23</v>
      </c>
      <c r="F13" s="551">
        <f t="shared" ref="F13" si="10">SUM(F14,F20,F21)</f>
        <v>3671950000</v>
      </c>
      <c r="G13" s="551">
        <f t="shared" ref="G13" si="11">SUM(G14,G20,G21)</f>
        <v>3105955000</v>
      </c>
      <c r="H13" s="551">
        <f t="shared" ref="H13" si="12">SUM(H14,H20,H21)</f>
        <v>2649181000</v>
      </c>
      <c r="I13" s="551">
        <f t="shared" ref="I13" si="13">SUM(I14,I20,I21)</f>
        <v>2279981575</v>
      </c>
      <c r="J13" s="551">
        <f t="shared" ref="J13:K13" si="14">SUM(J14,J20,J21)</f>
        <v>2181030033.75</v>
      </c>
      <c r="K13" s="551">
        <f t="shared" si="14"/>
        <v>2298455848.3125</v>
      </c>
      <c r="L13" s="551">
        <f>SUM(L14,L20,L21)</f>
        <v>1989153809.2718751</v>
      </c>
      <c r="M13" s="551">
        <f>SUM(M14,M20,M21)</f>
        <v>1738631351.7707813</v>
      </c>
      <c r="N13" s="551">
        <f>SUM(N14,N20,N21)</f>
        <v>1535286411.7359924</v>
      </c>
      <c r="O13" s="551">
        <f>SUM(O14,O20,O21)</f>
        <v>1369829702.0208175</v>
      </c>
    </row>
    <row r="14" spans="1:15">
      <c r="A14" s="480"/>
      <c r="B14" s="480"/>
      <c r="C14" s="483" t="s">
        <v>9</v>
      </c>
      <c r="D14" s="480" t="s">
        <v>24</v>
      </c>
      <c r="E14" s="480" t="s">
        <v>25</v>
      </c>
      <c r="F14" s="553">
        <f t="shared" ref="F14" si="15">SUM(F15:F19)</f>
        <v>3671950000</v>
      </c>
      <c r="G14" s="553">
        <f t="shared" ref="G14" si="16">SUM(G15:G19)</f>
        <v>3105955000</v>
      </c>
      <c r="H14" s="553">
        <f t="shared" ref="H14" si="17">SUM(H15:H19)</f>
        <v>2649181000</v>
      </c>
      <c r="I14" s="553">
        <f t="shared" ref="I14" si="18">SUM(I15:I19)</f>
        <v>2279981575</v>
      </c>
      <c r="J14" s="553">
        <f t="shared" ref="J14:K14" si="19">SUM(J15:J19)</f>
        <v>2181030033.75</v>
      </c>
      <c r="K14" s="553">
        <f t="shared" si="19"/>
        <v>2298455848.3125</v>
      </c>
      <c r="L14" s="553">
        <f>SUM(L15:L19)</f>
        <v>1989153809.2718751</v>
      </c>
      <c r="M14" s="553">
        <f>SUM(M15:M19)</f>
        <v>1738631351.7707813</v>
      </c>
      <c r="N14" s="553">
        <f>SUM(N15:N19)</f>
        <v>1535286411.7359924</v>
      </c>
      <c r="O14" s="553">
        <f>SUM(O15:O19)</f>
        <v>1369829702.0208175</v>
      </c>
    </row>
    <row r="15" spans="1:15">
      <c r="A15" s="480"/>
      <c r="B15" s="480"/>
      <c r="C15" s="482" t="s">
        <v>3</v>
      </c>
      <c r="D15" s="480" t="s">
        <v>26</v>
      </c>
      <c r="E15" s="480" t="s">
        <v>27</v>
      </c>
      <c r="F15" s="552">
        <f>'D&amp;A CAPEX'!G11</f>
        <v>68800000</v>
      </c>
      <c r="G15" s="552">
        <f>'D&amp;A CAPEX'!H11</f>
        <v>68800000</v>
      </c>
      <c r="H15" s="552">
        <f>'D&amp;A CAPEX'!I11</f>
        <v>68800000</v>
      </c>
      <c r="I15" s="552">
        <f>'D&amp;A CAPEX'!J11</f>
        <v>68800000</v>
      </c>
      <c r="J15" s="552">
        <f>'D&amp;A CAPEX'!K11</f>
        <v>68800000</v>
      </c>
      <c r="K15" s="552">
        <f>'D&amp;A CAPEX'!L11</f>
        <v>68800000</v>
      </c>
      <c r="L15" s="552">
        <f>'D&amp;A CAPEX'!M11</f>
        <v>68800000</v>
      </c>
      <c r="M15" s="552">
        <f>'D&amp;A CAPEX'!N11</f>
        <v>68800000</v>
      </c>
      <c r="N15" s="552">
        <f>'D&amp;A CAPEX'!O11</f>
        <v>68800000</v>
      </c>
      <c r="O15" s="552">
        <f>'D&amp;A CAPEX'!P11</f>
        <v>68800000</v>
      </c>
    </row>
    <row r="16" spans="1:15">
      <c r="A16" s="480"/>
      <c r="B16" s="480"/>
      <c r="C16" s="482" t="s">
        <v>28</v>
      </c>
      <c r="D16" s="480" t="s">
        <v>29</v>
      </c>
      <c r="E16" s="480" t="s">
        <v>30</v>
      </c>
      <c r="F16" s="552">
        <f>'D&amp;A CAPEX'!G12</f>
        <v>531000000</v>
      </c>
      <c r="G16" s="552">
        <f>'D&amp;A CAPEX'!H12</f>
        <v>504450000</v>
      </c>
      <c r="H16" s="552">
        <f>'D&amp;A CAPEX'!I12</f>
        <v>479227500</v>
      </c>
      <c r="I16" s="552">
        <f>'D&amp;A CAPEX'!J12</f>
        <v>455266125</v>
      </c>
      <c r="J16" s="552">
        <f>'D&amp;A CAPEX'!K12</f>
        <v>432502818.75</v>
      </c>
      <c r="K16" s="552">
        <f>'D&amp;A CAPEX'!L12</f>
        <v>410877677.8125</v>
      </c>
      <c r="L16" s="552">
        <f>'D&amp;A CAPEX'!M12</f>
        <v>390333793.921875</v>
      </c>
      <c r="M16" s="552">
        <f>'D&amp;A CAPEX'!N12</f>
        <v>370817104.22578126</v>
      </c>
      <c r="N16" s="552">
        <f>'D&amp;A CAPEX'!O12</f>
        <v>352276249.01449221</v>
      </c>
      <c r="O16" s="552">
        <f>'D&amp;A CAPEX'!P12</f>
        <v>334662436.56376761</v>
      </c>
    </row>
    <row r="17" spans="1:15">
      <c r="A17" s="480"/>
      <c r="B17" s="480"/>
      <c r="C17" s="482" t="s">
        <v>31</v>
      </c>
      <c r="D17" s="480" t="s">
        <v>32</v>
      </c>
      <c r="E17" s="480" t="s">
        <v>33</v>
      </c>
      <c r="F17" s="552">
        <f>'D&amp;A CAPEX'!G13</f>
        <v>3072000000</v>
      </c>
      <c r="G17" s="552">
        <f>'D&amp;A CAPEX'!H13</f>
        <v>2532600000</v>
      </c>
      <c r="H17" s="552">
        <f>'D&amp;A CAPEX'!I13</f>
        <v>2101080000</v>
      </c>
      <c r="I17" s="552">
        <f>'D&amp;A CAPEX'!J13</f>
        <v>1755864000</v>
      </c>
      <c r="J17" s="552">
        <f>'D&amp;A CAPEX'!K13</f>
        <v>1679691200</v>
      </c>
      <c r="K17" s="552">
        <f>'D&amp;A CAPEX'!L13</f>
        <v>1818752960</v>
      </c>
      <c r="L17" s="552">
        <f>'D&amp;A CAPEX'!M13</f>
        <v>1530002368</v>
      </c>
      <c r="M17" s="552">
        <f>'D&amp;A CAPEX'!N13</f>
        <v>1299001894.4000001</v>
      </c>
      <c r="N17" s="552">
        <f>'D&amp;A CAPEX'!O13</f>
        <v>1114201515.52</v>
      </c>
      <c r="O17" s="552">
        <f>'D&amp;A CAPEX'!P13</f>
        <v>966361212.41600001</v>
      </c>
    </row>
    <row r="18" spans="1:15">
      <c r="A18" s="480"/>
      <c r="B18" s="480"/>
      <c r="C18" s="482" t="s">
        <v>34</v>
      </c>
      <c r="D18" s="480" t="s">
        <v>35</v>
      </c>
      <c r="E18" s="480" t="s">
        <v>36</v>
      </c>
      <c r="F18" s="552">
        <f>'D&amp;A CAPEX'!G14</f>
        <v>100000</v>
      </c>
      <c r="G18" s="552">
        <f>'D&amp;A CAPEX'!H14</f>
        <v>70000</v>
      </c>
      <c r="H18" s="552">
        <f>'D&amp;A CAPEX'!I14</f>
        <v>49000</v>
      </c>
      <c r="I18" s="552">
        <f>'D&amp;A CAPEX'!J14</f>
        <v>34300</v>
      </c>
      <c r="J18" s="552">
        <f>'D&amp;A CAPEX'!K14</f>
        <v>24010</v>
      </c>
      <c r="K18" s="552">
        <f>'D&amp;A CAPEX'!L14</f>
        <v>16807</v>
      </c>
      <c r="L18" s="552">
        <f>'D&amp;A CAPEX'!M14</f>
        <v>11764.900000000001</v>
      </c>
      <c r="M18" s="552">
        <f>'D&amp;A CAPEX'!N14</f>
        <v>8235.43</v>
      </c>
      <c r="N18" s="552">
        <f>'D&amp;A CAPEX'!O14</f>
        <v>5764.8010000000004</v>
      </c>
      <c r="O18" s="552">
        <f>'D&amp;A CAPEX'!P14</f>
        <v>4035.3607000000002</v>
      </c>
    </row>
    <row r="19" spans="1:15">
      <c r="A19" s="480"/>
      <c r="B19" s="480"/>
      <c r="C19" s="482" t="s">
        <v>37</v>
      </c>
      <c r="D19" s="480" t="s">
        <v>38</v>
      </c>
      <c r="E19" s="480" t="s">
        <v>39</v>
      </c>
      <c r="F19" s="552">
        <f>'D&amp;A CAPEX'!G15</f>
        <v>50000</v>
      </c>
      <c r="G19" s="552">
        <f>'D&amp;A CAPEX'!H15</f>
        <v>35000</v>
      </c>
      <c r="H19" s="552">
        <f>'D&amp;A CAPEX'!I15</f>
        <v>24500</v>
      </c>
      <c r="I19" s="552">
        <f>'D&amp;A CAPEX'!J15</f>
        <v>17150</v>
      </c>
      <c r="J19" s="552">
        <f>'D&amp;A CAPEX'!K15</f>
        <v>12005</v>
      </c>
      <c r="K19" s="552">
        <f>'D&amp;A CAPEX'!L15</f>
        <v>8403.5</v>
      </c>
      <c r="L19" s="552">
        <f>'D&amp;A CAPEX'!M15</f>
        <v>5882.4500000000007</v>
      </c>
      <c r="M19" s="552">
        <f>'D&amp;A CAPEX'!N15</f>
        <v>4117.7150000000001</v>
      </c>
      <c r="N19" s="552">
        <f>'D&amp;A CAPEX'!O15</f>
        <v>2882.4005000000002</v>
      </c>
      <c r="O19" s="552">
        <f>'D&amp;A CAPEX'!P15</f>
        <v>2017.6803500000001</v>
      </c>
    </row>
    <row r="20" spans="1:15">
      <c r="A20" s="480"/>
      <c r="B20" s="480"/>
      <c r="C20" s="483" t="s">
        <v>12</v>
      </c>
      <c r="D20" s="480" t="s">
        <v>40</v>
      </c>
      <c r="E20" s="480" t="s">
        <v>41</v>
      </c>
      <c r="F20" s="552">
        <v>0</v>
      </c>
      <c r="G20" s="552">
        <f t="shared" ref="G20:K20" si="20">F20</f>
        <v>0</v>
      </c>
      <c r="H20" s="552">
        <f t="shared" si="20"/>
        <v>0</v>
      </c>
      <c r="I20" s="552">
        <f t="shared" si="20"/>
        <v>0</v>
      </c>
      <c r="J20" s="552">
        <f t="shared" si="20"/>
        <v>0</v>
      </c>
      <c r="K20" s="552">
        <f t="shared" si="20"/>
        <v>0</v>
      </c>
      <c r="L20" s="552">
        <f>K20</f>
        <v>0</v>
      </c>
      <c r="M20" s="552">
        <f>L20</f>
        <v>0</v>
      </c>
      <c r="N20" s="552">
        <f>M20</f>
        <v>0</v>
      </c>
      <c r="O20" s="552">
        <f>N20</f>
        <v>0</v>
      </c>
    </row>
    <row r="21" spans="1:15">
      <c r="A21" s="480"/>
      <c r="B21" s="480"/>
      <c r="C21" s="483" t="s">
        <v>15</v>
      </c>
      <c r="D21" s="480" t="s">
        <v>42</v>
      </c>
      <c r="E21" s="480" t="s">
        <v>43</v>
      </c>
      <c r="F21" s="552"/>
      <c r="G21" s="552"/>
      <c r="H21" s="552"/>
      <c r="I21" s="552"/>
      <c r="J21" s="552"/>
      <c r="K21" s="552"/>
      <c r="L21" s="552"/>
      <c r="M21" s="552"/>
      <c r="N21" s="552"/>
      <c r="O21" s="552"/>
    </row>
    <row r="22" spans="1:15" s="5" customFormat="1" ht="15">
      <c r="A22" s="480"/>
      <c r="B22" s="480"/>
      <c r="C22" s="546" t="s">
        <v>44</v>
      </c>
      <c r="D22" s="504" t="s">
        <v>45</v>
      </c>
      <c r="E22" s="504" t="s">
        <v>46</v>
      </c>
      <c r="F22" s="551">
        <f t="shared" ref="F22" si="21">SUM(F23:F25)</f>
        <v>0</v>
      </c>
      <c r="G22" s="551">
        <f t="shared" ref="G22" si="22">SUM(G23:G25)</f>
        <v>0</v>
      </c>
      <c r="H22" s="551">
        <f t="shared" ref="H22" si="23">SUM(H23:H25)</f>
        <v>0</v>
      </c>
      <c r="I22" s="551">
        <f t="shared" ref="I22" si="24">SUM(I23:I25)</f>
        <v>0</v>
      </c>
      <c r="J22" s="551">
        <f t="shared" ref="J22:K22" si="25">SUM(J23:J25)</f>
        <v>0</v>
      </c>
      <c r="K22" s="551">
        <f t="shared" si="25"/>
        <v>0</v>
      </c>
      <c r="L22" s="551">
        <f>SUM(L23:L25)</f>
        <v>0</v>
      </c>
      <c r="M22" s="551">
        <f>SUM(M23:M25)</f>
        <v>0</v>
      </c>
      <c r="N22" s="551">
        <f>SUM(N23:N25)</f>
        <v>0</v>
      </c>
      <c r="O22" s="551">
        <f>SUM(O23:O25)</f>
        <v>0</v>
      </c>
    </row>
    <row r="23" spans="1:15">
      <c r="A23" s="480"/>
      <c r="B23" s="480"/>
      <c r="C23" s="483" t="s">
        <v>9</v>
      </c>
      <c r="D23" s="480" t="s">
        <v>47</v>
      </c>
      <c r="E23" s="480" t="s">
        <v>48</v>
      </c>
      <c r="F23" s="552"/>
      <c r="G23" s="552"/>
      <c r="H23" s="552"/>
      <c r="I23" s="552"/>
      <c r="J23" s="552"/>
      <c r="K23" s="552"/>
      <c r="L23" s="552"/>
      <c r="M23" s="552"/>
      <c r="N23" s="552"/>
      <c r="O23" s="552"/>
    </row>
    <row r="24" spans="1:15">
      <c r="A24" s="480"/>
      <c r="B24" s="480"/>
      <c r="C24" s="483" t="s">
        <v>12</v>
      </c>
      <c r="D24" s="480" t="s">
        <v>49</v>
      </c>
      <c r="E24" s="480" t="s">
        <v>50</v>
      </c>
      <c r="F24" s="552"/>
      <c r="G24" s="552"/>
      <c r="H24" s="552"/>
      <c r="I24" s="552"/>
      <c r="J24" s="552"/>
      <c r="K24" s="552"/>
      <c r="L24" s="552"/>
      <c r="M24" s="552"/>
      <c r="N24" s="552"/>
      <c r="O24" s="552"/>
    </row>
    <row r="25" spans="1:15">
      <c r="A25" s="480"/>
      <c r="B25" s="480"/>
      <c r="C25" s="483" t="s">
        <v>15</v>
      </c>
      <c r="D25" s="480" t="s">
        <v>51</v>
      </c>
      <c r="E25" s="480" t="s">
        <v>52</v>
      </c>
      <c r="F25" s="552"/>
      <c r="G25" s="552"/>
      <c r="H25" s="552"/>
      <c r="I25" s="552"/>
      <c r="J25" s="552"/>
      <c r="K25" s="552"/>
      <c r="L25" s="552"/>
      <c r="M25" s="552"/>
      <c r="N25" s="552"/>
      <c r="O25" s="552"/>
    </row>
    <row r="26" spans="1:15" s="5" customFormat="1" ht="15">
      <c r="A26" s="480"/>
      <c r="B26" s="480"/>
      <c r="C26" s="546" t="s">
        <v>53</v>
      </c>
      <c r="D26" s="504" t="s">
        <v>54</v>
      </c>
      <c r="E26" s="504" t="s">
        <v>55</v>
      </c>
      <c r="F26" s="551">
        <f t="shared" ref="F26" si="26">SUM(F27,F28,F29,F45)</f>
        <v>0</v>
      </c>
      <c r="G26" s="551">
        <f t="shared" ref="G26:J26" si="27">SUM(G27,G28,G29,G45)</f>
        <v>0</v>
      </c>
      <c r="H26" s="551">
        <f t="shared" si="27"/>
        <v>0</v>
      </c>
      <c r="I26" s="551">
        <f t="shared" si="27"/>
        <v>0</v>
      </c>
      <c r="J26" s="551">
        <f t="shared" si="27"/>
        <v>0</v>
      </c>
      <c r="K26" s="551">
        <f t="shared" ref="K26" si="28">SUM(K27,K28,K29,K45)</f>
        <v>0</v>
      </c>
      <c r="L26" s="551">
        <f>SUM(L27,L28,L29,L45)</f>
        <v>0</v>
      </c>
      <c r="M26" s="551">
        <f>SUM(M27,M28,M29,M45)</f>
        <v>0</v>
      </c>
      <c r="N26" s="551">
        <f>SUM(N27,N28,N29,N45)</f>
        <v>0</v>
      </c>
      <c r="O26" s="551">
        <f>SUM(O27,O28,O29,O45)</f>
        <v>0</v>
      </c>
    </row>
    <row r="27" spans="1:15" hidden="1" outlineLevel="1">
      <c r="A27" s="480"/>
      <c r="B27" s="480"/>
      <c r="C27" s="483" t="s">
        <v>9</v>
      </c>
      <c r="D27" s="480" t="s">
        <v>56</v>
      </c>
      <c r="E27" s="480" t="s">
        <v>57</v>
      </c>
      <c r="F27" s="552"/>
      <c r="G27" s="552"/>
      <c r="H27" s="552"/>
      <c r="I27" s="552"/>
      <c r="J27" s="552"/>
      <c r="K27" s="552"/>
      <c r="L27" s="552"/>
      <c r="M27" s="552"/>
      <c r="N27" s="552"/>
      <c r="O27" s="552"/>
    </row>
    <row r="28" spans="1:15" hidden="1" outlineLevel="1">
      <c r="A28" s="480"/>
      <c r="B28" s="480"/>
      <c r="C28" s="483" t="s">
        <v>12</v>
      </c>
      <c r="D28" s="480" t="s">
        <v>7</v>
      </c>
      <c r="E28" s="480" t="s">
        <v>8</v>
      </c>
      <c r="F28" s="552"/>
      <c r="G28" s="552"/>
      <c r="H28" s="552"/>
      <c r="I28" s="552"/>
      <c r="J28" s="552"/>
      <c r="K28" s="552"/>
      <c r="L28" s="552"/>
      <c r="M28" s="552"/>
      <c r="N28" s="552"/>
      <c r="O28" s="552"/>
    </row>
    <row r="29" spans="1:15" hidden="1" outlineLevel="1">
      <c r="A29" s="480"/>
      <c r="B29" s="480"/>
      <c r="C29" s="483" t="s">
        <v>15</v>
      </c>
      <c r="D29" s="480" t="s">
        <v>58</v>
      </c>
      <c r="E29" s="480" t="s">
        <v>59</v>
      </c>
      <c r="F29" s="553">
        <f t="shared" ref="F29" si="29">SUM(F30,F35,F40)</f>
        <v>0</v>
      </c>
      <c r="G29" s="553">
        <f t="shared" ref="G29:J29" si="30">SUM(G30,G35,G40)</f>
        <v>0</v>
      </c>
      <c r="H29" s="553">
        <f t="shared" si="30"/>
        <v>0</v>
      </c>
      <c r="I29" s="553">
        <f t="shared" si="30"/>
        <v>0</v>
      </c>
      <c r="J29" s="553">
        <f t="shared" si="30"/>
        <v>0</v>
      </c>
      <c r="K29" s="553">
        <f t="shared" ref="K29" si="31">SUM(K30,K35,K40)</f>
        <v>0</v>
      </c>
      <c r="L29" s="553">
        <f>SUM(L30,L35,L40)</f>
        <v>0</v>
      </c>
      <c r="M29" s="553">
        <f>SUM(M30,M35,M40)</f>
        <v>0</v>
      </c>
      <c r="N29" s="553">
        <f>SUM(N30,N35,N40)</f>
        <v>0</v>
      </c>
      <c r="O29" s="553">
        <f>SUM(O30,O35,O40)</f>
        <v>0</v>
      </c>
    </row>
    <row r="30" spans="1:15" hidden="1" outlineLevel="1">
      <c r="A30" s="480"/>
      <c r="B30" s="480"/>
      <c r="C30" s="482" t="s">
        <v>3</v>
      </c>
      <c r="D30" s="480" t="s">
        <v>60</v>
      </c>
      <c r="E30" s="480" t="s">
        <v>61</v>
      </c>
      <c r="F30" s="553">
        <f t="shared" ref="F30" si="32">SUM(F31:F34)</f>
        <v>0</v>
      </c>
      <c r="G30" s="553">
        <f t="shared" ref="G30:J30" si="33">SUM(G31:G34)</f>
        <v>0</v>
      </c>
      <c r="H30" s="553">
        <f t="shared" si="33"/>
        <v>0</v>
      </c>
      <c r="I30" s="553">
        <f t="shared" si="33"/>
        <v>0</v>
      </c>
      <c r="J30" s="553">
        <f t="shared" si="33"/>
        <v>0</v>
      </c>
      <c r="K30" s="553">
        <f t="shared" ref="K30" si="34">SUM(K31:K34)</f>
        <v>0</v>
      </c>
      <c r="L30" s="553">
        <f>SUM(L31:L34)</f>
        <v>0</v>
      </c>
      <c r="M30" s="553">
        <f>SUM(M31:M34)</f>
        <v>0</v>
      </c>
      <c r="N30" s="553">
        <f>SUM(N31:N34)</f>
        <v>0</v>
      </c>
      <c r="O30" s="553">
        <f>SUM(O31:O34)</f>
        <v>0</v>
      </c>
    </row>
    <row r="31" spans="1:15" hidden="1" outlineLevel="1">
      <c r="A31" s="480"/>
      <c r="B31" s="480"/>
      <c r="C31" s="484" t="s">
        <v>62</v>
      </c>
      <c r="D31" s="480" t="s">
        <v>63</v>
      </c>
      <c r="E31" s="480" t="s">
        <v>64</v>
      </c>
      <c r="F31" s="552"/>
      <c r="G31" s="552"/>
      <c r="H31" s="552"/>
      <c r="I31" s="552"/>
      <c r="J31" s="552"/>
      <c r="K31" s="552"/>
      <c r="L31" s="552"/>
      <c r="M31" s="552"/>
      <c r="N31" s="552"/>
      <c r="O31" s="552"/>
    </row>
    <row r="32" spans="1:15" hidden="1" outlineLevel="1">
      <c r="A32" s="480"/>
      <c r="B32" s="480"/>
      <c r="C32" s="484" t="s">
        <v>62</v>
      </c>
      <c r="D32" s="480" t="s">
        <v>65</v>
      </c>
      <c r="E32" s="480" t="s">
        <v>66</v>
      </c>
      <c r="F32" s="552"/>
      <c r="G32" s="552"/>
      <c r="H32" s="552"/>
      <c r="I32" s="552"/>
      <c r="J32" s="552"/>
      <c r="K32" s="552"/>
      <c r="L32" s="552"/>
      <c r="M32" s="552"/>
      <c r="N32" s="552"/>
      <c r="O32" s="552"/>
    </row>
    <row r="33" spans="1:15" hidden="1" outlineLevel="1">
      <c r="A33" s="480"/>
      <c r="B33" s="480"/>
      <c r="C33" s="484" t="s">
        <v>62</v>
      </c>
      <c r="D33" s="480" t="s">
        <v>67</v>
      </c>
      <c r="E33" s="480" t="s">
        <v>68</v>
      </c>
      <c r="F33" s="552">
        <v>0</v>
      </c>
      <c r="G33" s="552">
        <v>0</v>
      </c>
      <c r="H33" s="552">
        <v>0</v>
      </c>
      <c r="I33" s="552">
        <v>0</v>
      </c>
      <c r="J33" s="552">
        <v>0</v>
      </c>
      <c r="K33" s="552">
        <v>0</v>
      </c>
      <c r="L33" s="552">
        <v>0</v>
      </c>
      <c r="M33" s="552">
        <v>0</v>
      </c>
      <c r="N33" s="552">
        <v>0</v>
      </c>
      <c r="O33" s="552">
        <v>0</v>
      </c>
    </row>
    <row r="34" spans="1:15" hidden="1" outlineLevel="1">
      <c r="A34" s="480"/>
      <c r="B34" s="480"/>
      <c r="C34" s="484" t="s">
        <v>62</v>
      </c>
      <c r="D34" s="480" t="s">
        <v>69</v>
      </c>
      <c r="E34" s="480" t="s">
        <v>70</v>
      </c>
      <c r="F34" s="552"/>
      <c r="G34" s="552"/>
      <c r="H34" s="552"/>
      <c r="I34" s="552"/>
      <c r="J34" s="552"/>
      <c r="K34" s="552"/>
      <c r="L34" s="552"/>
      <c r="M34" s="552"/>
      <c r="N34" s="552"/>
      <c r="O34" s="552"/>
    </row>
    <row r="35" spans="1:15" hidden="1" outlineLevel="1">
      <c r="A35" s="480"/>
      <c r="B35" s="480"/>
      <c r="C35" s="482" t="s">
        <v>28</v>
      </c>
      <c r="D35" s="480" t="s">
        <v>71</v>
      </c>
      <c r="E35" s="480" t="s">
        <v>72</v>
      </c>
      <c r="F35" s="553">
        <f t="shared" ref="F35" si="35">SUM(F36:F39)</f>
        <v>0</v>
      </c>
      <c r="G35" s="553">
        <f t="shared" ref="G35:J35" si="36">SUM(G36:G39)</f>
        <v>0</v>
      </c>
      <c r="H35" s="553">
        <f t="shared" si="36"/>
        <v>0</v>
      </c>
      <c r="I35" s="553">
        <f t="shared" si="36"/>
        <v>0</v>
      </c>
      <c r="J35" s="553">
        <f t="shared" si="36"/>
        <v>0</v>
      </c>
      <c r="K35" s="553">
        <f t="shared" ref="K35" si="37">SUM(K36:K39)</f>
        <v>0</v>
      </c>
      <c r="L35" s="553">
        <f>SUM(L36:L39)</f>
        <v>0</v>
      </c>
      <c r="M35" s="553">
        <f>SUM(M36:M39)</f>
        <v>0</v>
      </c>
      <c r="N35" s="553">
        <f>SUM(N36:N39)</f>
        <v>0</v>
      </c>
      <c r="O35" s="553">
        <f>SUM(O36:O39)</f>
        <v>0</v>
      </c>
    </row>
    <row r="36" spans="1:15" hidden="1" outlineLevel="1">
      <c r="A36" s="480"/>
      <c r="B36" s="480"/>
      <c r="C36" s="484" t="s">
        <v>62</v>
      </c>
      <c r="D36" s="480" t="s">
        <v>63</v>
      </c>
      <c r="E36" s="480" t="s">
        <v>64</v>
      </c>
      <c r="F36" s="552"/>
      <c r="G36" s="552"/>
      <c r="H36" s="552"/>
      <c r="I36" s="552"/>
      <c r="J36" s="552"/>
      <c r="K36" s="552"/>
      <c r="L36" s="552"/>
      <c r="M36" s="552"/>
      <c r="N36" s="552"/>
      <c r="O36" s="552"/>
    </row>
    <row r="37" spans="1:15" hidden="1" outlineLevel="1">
      <c r="A37" s="480"/>
      <c r="B37" s="480"/>
      <c r="C37" s="484" t="s">
        <v>62</v>
      </c>
      <c r="D37" s="480" t="s">
        <v>65</v>
      </c>
      <c r="E37" s="480" t="s">
        <v>66</v>
      </c>
      <c r="F37" s="552"/>
      <c r="G37" s="552"/>
      <c r="H37" s="552"/>
      <c r="I37" s="552"/>
      <c r="J37" s="552"/>
      <c r="K37" s="552"/>
      <c r="L37" s="552"/>
      <c r="M37" s="552"/>
      <c r="N37" s="552"/>
      <c r="O37" s="552"/>
    </row>
    <row r="38" spans="1:15" hidden="1" outlineLevel="1">
      <c r="A38" s="480"/>
      <c r="B38" s="480"/>
      <c r="C38" s="484" t="s">
        <v>62</v>
      </c>
      <c r="D38" s="480" t="s">
        <v>67</v>
      </c>
      <c r="E38" s="480" t="s">
        <v>68</v>
      </c>
      <c r="F38" s="552">
        <v>0</v>
      </c>
      <c r="G38" s="552">
        <v>0</v>
      </c>
      <c r="H38" s="552">
        <f t="shared" ref="H38:K38" si="38">G38</f>
        <v>0</v>
      </c>
      <c r="I38" s="552">
        <f t="shared" si="38"/>
        <v>0</v>
      </c>
      <c r="J38" s="552">
        <f t="shared" si="38"/>
        <v>0</v>
      </c>
      <c r="K38" s="552">
        <f t="shared" si="38"/>
        <v>0</v>
      </c>
      <c r="L38" s="552">
        <f>K38</f>
        <v>0</v>
      </c>
      <c r="M38" s="552">
        <f>L38</f>
        <v>0</v>
      </c>
      <c r="N38" s="552">
        <f>M38</f>
        <v>0</v>
      </c>
      <c r="O38" s="552">
        <f>N38</f>
        <v>0</v>
      </c>
    </row>
    <row r="39" spans="1:15" hidden="1" outlineLevel="1">
      <c r="A39" s="480"/>
      <c r="B39" s="480"/>
      <c r="C39" s="484" t="s">
        <v>62</v>
      </c>
      <c r="D39" s="480" t="s">
        <v>69</v>
      </c>
      <c r="E39" s="480" t="s">
        <v>70</v>
      </c>
      <c r="F39" s="552"/>
      <c r="G39" s="552"/>
      <c r="H39" s="552"/>
      <c r="I39" s="552"/>
      <c r="J39" s="552"/>
      <c r="K39" s="552"/>
      <c r="L39" s="552"/>
      <c r="M39" s="552"/>
      <c r="N39" s="552"/>
      <c r="O39" s="552"/>
    </row>
    <row r="40" spans="1:15" hidden="1" outlineLevel="1">
      <c r="A40" s="480"/>
      <c r="B40" s="480"/>
      <c r="C40" s="482" t="s">
        <v>31</v>
      </c>
      <c r="D40" s="480" t="s">
        <v>73</v>
      </c>
      <c r="E40" s="480" t="s">
        <v>74</v>
      </c>
      <c r="F40" s="553">
        <f t="shared" ref="F40" si="39">SUM(F41:F44)</f>
        <v>0</v>
      </c>
      <c r="G40" s="553">
        <f t="shared" ref="G40:J40" si="40">SUM(G41:G44)</f>
        <v>0</v>
      </c>
      <c r="H40" s="553">
        <f t="shared" si="40"/>
        <v>0</v>
      </c>
      <c r="I40" s="553">
        <f t="shared" si="40"/>
        <v>0</v>
      </c>
      <c r="J40" s="553">
        <f t="shared" si="40"/>
        <v>0</v>
      </c>
      <c r="K40" s="553">
        <f t="shared" ref="K40" si="41">SUM(K41:K44)</f>
        <v>0</v>
      </c>
      <c r="L40" s="553">
        <f>SUM(L41:L44)</f>
        <v>0</v>
      </c>
      <c r="M40" s="553">
        <f>SUM(M41:M44)</f>
        <v>0</v>
      </c>
      <c r="N40" s="553">
        <f>SUM(N41:N44)</f>
        <v>0</v>
      </c>
      <c r="O40" s="553">
        <f>SUM(O41:O44)</f>
        <v>0</v>
      </c>
    </row>
    <row r="41" spans="1:15" hidden="1" outlineLevel="1">
      <c r="A41" s="480"/>
      <c r="B41" s="480"/>
      <c r="C41" s="484" t="s">
        <v>62</v>
      </c>
      <c r="D41" s="480" t="s">
        <v>63</v>
      </c>
      <c r="E41" s="480" t="s">
        <v>64</v>
      </c>
      <c r="F41" s="552"/>
      <c r="G41" s="552"/>
      <c r="H41" s="552"/>
      <c r="I41" s="552"/>
      <c r="J41" s="552"/>
      <c r="K41" s="552"/>
      <c r="L41" s="552"/>
      <c r="M41" s="552"/>
      <c r="N41" s="552"/>
      <c r="O41" s="552"/>
    </row>
    <row r="42" spans="1:15" hidden="1" outlineLevel="1">
      <c r="A42" s="480"/>
      <c r="B42" s="480"/>
      <c r="C42" s="484" t="s">
        <v>62</v>
      </c>
      <c r="D42" s="480" t="s">
        <v>65</v>
      </c>
      <c r="E42" s="480" t="s">
        <v>66</v>
      </c>
      <c r="F42" s="552"/>
      <c r="G42" s="552"/>
      <c r="H42" s="552"/>
      <c r="I42" s="552"/>
      <c r="J42" s="552"/>
      <c r="K42" s="552"/>
      <c r="L42" s="552"/>
      <c r="M42" s="552"/>
      <c r="N42" s="552"/>
      <c r="O42" s="552"/>
    </row>
    <row r="43" spans="1:15" hidden="1" outlineLevel="1">
      <c r="A43" s="480"/>
      <c r="B43" s="480"/>
      <c r="C43" s="484" t="s">
        <v>62</v>
      </c>
      <c r="D43" s="480" t="s">
        <v>67</v>
      </c>
      <c r="E43" s="480" t="s">
        <v>68</v>
      </c>
      <c r="F43" s="552"/>
      <c r="G43" s="552"/>
      <c r="H43" s="552"/>
      <c r="I43" s="552"/>
      <c r="J43" s="552"/>
      <c r="K43" s="552"/>
      <c r="L43" s="552"/>
      <c r="M43" s="552"/>
      <c r="N43" s="552"/>
      <c r="O43" s="552"/>
    </row>
    <row r="44" spans="1:15" hidden="1" outlineLevel="1">
      <c r="A44" s="480"/>
      <c r="B44" s="480"/>
      <c r="C44" s="484" t="s">
        <v>62</v>
      </c>
      <c r="D44" s="480" t="s">
        <v>69</v>
      </c>
      <c r="E44" s="480" t="s">
        <v>70</v>
      </c>
      <c r="F44" s="552"/>
      <c r="G44" s="552"/>
      <c r="H44" s="552"/>
      <c r="I44" s="552"/>
      <c r="J44" s="552"/>
      <c r="K44" s="552"/>
      <c r="L44" s="552"/>
      <c r="M44" s="552"/>
      <c r="N44" s="552"/>
      <c r="O44" s="552"/>
    </row>
    <row r="45" spans="1:15" hidden="1" outlineLevel="1">
      <c r="A45" s="480"/>
      <c r="B45" s="480"/>
      <c r="C45" s="483" t="s">
        <v>18</v>
      </c>
      <c r="D45" s="480" t="s">
        <v>75</v>
      </c>
      <c r="E45" s="480" t="s">
        <v>76</v>
      </c>
      <c r="F45" s="552"/>
      <c r="G45" s="552"/>
      <c r="H45" s="552"/>
      <c r="I45" s="552"/>
      <c r="J45" s="552"/>
      <c r="K45" s="552"/>
      <c r="L45" s="552"/>
      <c r="M45" s="552"/>
      <c r="N45" s="552"/>
      <c r="O45" s="552"/>
    </row>
    <row r="46" spans="1:15" s="5" customFormat="1" ht="15" collapsed="1">
      <c r="A46" s="480"/>
      <c r="B46" s="480"/>
      <c r="C46" s="504" t="s">
        <v>77</v>
      </c>
      <c r="D46" s="504" t="s">
        <v>78</v>
      </c>
      <c r="E46" s="504" t="s">
        <v>79</v>
      </c>
      <c r="F46" s="551">
        <f t="shared" ref="F46" si="42">SUM(F47:F48)</f>
        <v>0</v>
      </c>
      <c r="G46" s="551">
        <f t="shared" ref="G46" si="43">SUM(G47:G48)</f>
        <v>0</v>
      </c>
      <c r="H46" s="551">
        <f t="shared" ref="H46" si="44">SUM(H47:H48)</f>
        <v>0</v>
      </c>
      <c r="I46" s="551">
        <f t="shared" ref="I46" si="45">SUM(I47:I48)</f>
        <v>0</v>
      </c>
      <c r="J46" s="551">
        <f t="shared" ref="J46:K46" si="46">SUM(J47:J48)</f>
        <v>0</v>
      </c>
      <c r="K46" s="551">
        <f t="shared" si="46"/>
        <v>0</v>
      </c>
      <c r="L46" s="551">
        <f>SUM(L47:L48)</f>
        <v>0</v>
      </c>
      <c r="M46" s="551">
        <f>SUM(M47:M48)</f>
        <v>0</v>
      </c>
      <c r="N46" s="551">
        <f>SUM(N47:N48)</f>
        <v>0</v>
      </c>
      <c r="O46" s="551">
        <f>SUM(O47:O48)</f>
        <v>0</v>
      </c>
    </row>
    <row r="47" spans="1:15">
      <c r="A47" s="480"/>
      <c r="B47" s="480"/>
      <c r="C47" s="483" t="s">
        <v>9</v>
      </c>
      <c r="D47" s="480" t="s">
        <v>80</v>
      </c>
      <c r="E47" s="480" t="s">
        <v>81</v>
      </c>
      <c r="F47" s="552">
        <v>0</v>
      </c>
      <c r="G47" s="552">
        <f t="shared" ref="G47:K48" si="47">F47</f>
        <v>0</v>
      </c>
      <c r="H47" s="552">
        <f t="shared" si="47"/>
        <v>0</v>
      </c>
      <c r="I47" s="552">
        <f t="shared" si="47"/>
        <v>0</v>
      </c>
      <c r="J47" s="552">
        <f t="shared" si="47"/>
        <v>0</v>
      </c>
      <c r="K47" s="552">
        <f t="shared" si="47"/>
        <v>0</v>
      </c>
      <c r="L47" s="552">
        <f>K47</f>
        <v>0</v>
      </c>
      <c r="M47" s="552">
        <f>L47</f>
        <v>0</v>
      </c>
      <c r="N47" s="552">
        <f>M47</f>
        <v>0</v>
      </c>
      <c r="O47" s="552">
        <f>N47</f>
        <v>0</v>
      </c>
    </row>
    <row r="48" spans="1:15">
      <c r="A48" s="480"/>
      <c r="B48" s="480"/>
      <c r="C48" s="483" t="s">
        <v>12</v>
      </c>
      <c r="D48" s="480" t="s">
        <v>82</v>
      </c>
      <c r="E48" s="480" t="s">
        <v>83</v>
      </c>
      <c r="F48" s="552">
        <v>0</v>
      </c>
      <c r="G48" s="552">
        <v>0</v>
      </c>
      <c r="H48" s="552">
        <f t="shared" si="47"/>
        <v>0</v>
      </c>
      <c r="I48" s="552">
        <f t="shared" si="47"/>
        <v>0</v>
      </c>
      <c r="J48" s="552">
        <f t="shared" si="47"/>
        <v>0</v>
      </c>
      <c r="K48" s="552">
        <f t="shared" si="47"/>
        <v>0</v>
      </c>
      <c r="L48" s="552">
        <f>K48</f>
        <v>0</v>
      </c>
      <c r="M48" s="552">
        <f>L48</f>
        <v>0</v>
      </c>
      <c r="N48" s="552">
        <f>M48</f>
        <v>0</v>
      </c>
      <c r="O48" s="552">
        <f>N48</f>
        <v>0</v>
      </c>
    </row>
    <row r="49" spans="1:15" s="5" customFormat="1" ht="15">
      <c r="A49" s="480"/>
      <c r="B49" s="480"/>
      <c r="C49" s="498" t="s">
        <v>28</v>
      </c>
      <c r="D49" s="498" t="s">
        <v>84</v>
      </c>
      <c r="E49" s="498" t="s">
        <v>85</v>
      </c>
      <c r="F49" s="550">
        <f t="shared" ref="F49" si="48">SUM(F50,F56,F74,F91)</f>
        <v>208891675.39799881</v>
      </c>
      <c r="G49" s="550">
        <f t="shared" ref="G49" si="49">SUM(G50,G56,G74,G91)</f>
        <v>249014254.48932308</v>
      </c>
      <c r="H49" s="550">
        <f t="shared" ref="H49" si="50">SUM(H50,H56,H74,H91)</f>
        <v>283412490.20770222</v>
      </c>
      <c r="I49" s="550">
        <f t="shared" ref="I49" si="51">SUM(I50,I56,I74,I91)</f>
        <v>420330381.3611207</v>
      </c>
      <c r="J49" s="550">
        <f t="shared" ref="J49" si="52">SUM(J50,J56,J74,J91)</f>
        <v>373636698.45789516</v>
      </c>
      <c r="K49" s="550">
        <f>SUM(K50,K56,K74,K91)</f>
        <v>110591015.67482227</v>
      </c>
      <c r="L49" s="550">
        <f>SUM(L50,L56,L74,L91)</f>
        <v>267635686.699866</v>
      </c>
      <c r="M49" s="550">
        <f>SUM(M50,M56,M74,M91)</f>
        <v>415607450.69264263</v>
      </c>
      <c r="N49" s="550">
        <f>SUM(N50,N56,N74,N91)</f>
        <v>568564434.81843555</v>
      </c>
      <c r="O49" s="550">
        <f>SUM(O50,O56,O74,O91)</f>
        <v>727864249.84175956</v>
      </c>
    </row>
    <row r="50" spans="1:15" s="5" customFormat="1" ht="15">
      <c r="A50" s="480"/>
      <c r="B50" s="480"/>
      <c r="C50" s="504" t="s">
        <v>6</v>
      </c>
      <c r="D50" s="504" t="s">
        <v>86</v>
      </c>
      <c r="E50" s="504" t="s">
        <v>87</v>
      </c>
      <c r="F50" s="551">
        <f t="shared" ref="F50" si="53">SUM(F51:F55)</f>
        <v>0</v>
      </c>
      <c r="G50" s="551">
        <f t="shared" ref="G50" si="54">SUM(G51:G55)</f>
        <v>0</v>
      </c>
      <c r="H50" s="551">
        <f t="shared" ref="H50" si="55">SUM(H51:H55)</f>
        <v>0</v>
      </c>
      <c r="I50" s="551">
        <f t="shared" ref="I50" si="56">SUM(I51:I55)</f>
        <v>0</v>
      </c>
      <c r="J50" s="551">
        <f t="shared" ref="J50:K50" si="57">SUM(J51:J55)</f>
        <v>0</v>
      </c>
      <c r="K50" s="551">
        <f t="shared" si="57"/>
        <v>0</v>
      </c>
      <c r="L50" s="551">
        <f>SUM(L51:L55)</f>
        <v>0</v>
      </c>
      <c r="M50" s="551">
        <f>SUM(M51:M55)</f>
        <v>0</v>
      </c>
      <c r="N50" s="551">
        <f>SUM(N51:N55)</f>
        <v>0</v>
      </c>
      <c r="O50" s="551">
        <f>SUM(O51:O55)</f>
        <v>0</v>
      </c>
    </row>
    <row r="51" spans="1:15" hidden="1" outlineLevel="1">
      <c r="A51" s="480"/>
      <c r="B51" s="480"/>
      <c r="C51" s="483" t="s">
        <v>9</v>
      </c>
      <c r="D51" s="480" t="s">
        <v>88</v>
      </c>
      <c r="E51" s="480" t="s">
        <v>89</v>
      </c>
      <c r="F51" s="552">
        <f>NWC!F36*NWC!F$41</f>
        <v>0</v>
      </c>
      <c r="G51" s="552">
        <f>NWC!G36*NWC!G$41</f>
        <v>0</v>
      </c>
      <c r="H51" s="552">
        <f>NWC!H36*NWC!H$41</f>
        <v>0</v>
      </c>
      <c r="I51" s="552">
        <f>NWC!I36*NWC!I$41</f>
        <v>0</v>
      </c>
      <c r="J51" s="552">
        <f>NWC!J36*NWC!J$41</f>
        <v>0</v>
      </c>
      <c r="K51" s="552">
        <f>NWC!K36*NWC!K$41</f>
        <v>0</v>
      </c>
      <c r="L51" s="552">
        <f>NWC!L36*NWC!L$41</f>
        <v>0</v>
      </c>
      <c r="M51" s="552">
        <f>NWC!M36*NWC!M$41</f>
        <v>0</v>
      </c>
      <c r="N51" s="552">
        <f>NWC!N36*NWC!N$41</f>
        <v>0</v>
      </c>
      <c r="O51" s="552">
        <f>NWC!O36*NWC!O$41</f>
        <v>0</v>
      </c>
    </row>
    <row r="52" spans="1:15" hidden="1" outlineLevel="1">
      <c r="A52" s="480"/>
      <c r="B52" s="480"/>
      <c r="C52" s="483" t="s">
        <v>12</v>
      </c>
      <c r="D52" s="480" t="s">
        <v>90</v>
      </c>
      <c r="E52" s="480" t="s">
        <v>91</v>
      </c>
      <c r="F52" s="552">
        <f>NWC!F37*NWC!F$41</f>
        <v>0</v>
      </c>
      <c r="G52" s="552">
        <f>NWC!G37*NWC!G$41</f>
        <v>0</v>
      </c>
      <c r="H52" s="552">
        <f>NWC!H37*NWC!H$41</f>
        <v>0</v>
      </c>
      <c r="I52" s="552">
        <f>NWC!I37*NWC!I$41</f>
        <v>0</v>
      </c>
      <c r="J52" s="552">
        <f>NWC!J37*NWC!J$41</f>
        <v>0</v>
      </c>
      <c r="K52" s="552">
        <f>NWC!K37*NWC!K$41</f>
        <v>0</v>
      </c>
      <c r="L52" s="552">
        <f>NWC!L37*NWC!L$41</f>
        <v>0</v>
      </c>
      <c r="M52" s="552">
        <f>NWC!M37*NWC!M$41</f>
        <v>0</v>
      </c>
      <c r="N52" s="552">
        <f>NWC!N37*NWC!N$41</f>
        <v>0</v>
      </c>
      <c r="O52" s="552">
        <f>NWC!O37*NWC!O$41</f>
        <v>0</v>
      </c>
    </row>
    <row r="53" spans="1:15" hidden="1" outlineLevel="1">
      <c r="A53" s="480"/>
      <c r="B53" s="480"/>
      <c r="C53" s="483" t="s">
        <v>15</v>
      </c>
      <c r="D53" s="480" t="s">
        <v>92</v>
      </c>
      <c r="E53" s="480" t="s">
        <v>93</v>
      </c>
      <c r="F53" s="552">
        <f>NWC!F38*NWC!F$41</f>
        <v>0</v>
      </c>
      <c r="G53" s="552">
        <f>NWC!G38*NWC!G$41</f>
        <v>0</v>
      </c>
      <c r="H53" s="552">
        <f>NWC!H38*NWC!H$41</f>
        <v>0</v>
      </c>
      <c r="I53" s="552">
        <f>NWC!I38*NWC!I$41</f>
        <v>0</v>
      </c>
      <c r="J53" s="552">
        <f>NWC!J38*NWC!J$41</f>
        <v>0</v>
      </c>
      <c r="K53" s="552">
        <f>NWC!K38*NWC!K$41</f>
        <v>0</v>
      </c>
      <c r="L53" s="552">
        <f>NWC!L38*NWC!L$41</f>
        <v>0</v>
      </c>
      <c r="M53" s="552">
        <f>NWC!M38*NWC!M$41</f>
        <v>0</v>
      </c>
      <c r="N53" s="552">
        <f>NWC!N38*NWC!N$41</f>
        <v>0</v>
      </c>
      <c r="O53" s="552">
        <f>NWC!O38*NWC!O$41</f>
        <v>0</v>
      </c>
    </row>
    <row r="54" spans="1:15" hidden="1" outlineLevel="1">
      <c r="A54" s="480"/>
      <c r="B54" s="480"/>
      <c r="C54" s="483" t="s">
        <v>18</v>
      </c>
      <c r="D54" s="480" t="s">
        <v>94</v>
      </c>
      <c r="E54" s="480" t="s">
        <v>95</v>
      </c>
      <c r="F54" s="552">
        <f>NWC!F39*NWC!F$41</f>
        <v>0</v>
      </c>
      <c r="G54" s="552">
        <f>NWC!G39*NWC!G$41</f>
        <v>0</v>
      </c>
      <c r="H54" s="552">
        <f>NWC!H39*NWC!H$41</f>
        <v>0</v>
      </c>
      <c r="I54" s="552">
        <f>NWC!I39*NWC!I$41</f>
        <v>0</v>
      </c>
      <c r="J54" s="552">
        <f>NWC!J39*NWC!J$41</f>
        <v>0</v>
      </c>
      <c r="K54" s="552">
        <f>NWC!K39*NWC!K$41</f>
        <v>0</v>
      </c>
      <c r="L54" s="552">
        <f>NWC!L39*NWC!L$41</f>
        <v>0</v>
      </c>
      <c r="M54" s="552">
        <f>NWC!M39*NWC!M$41</f>
        <v>0</v>
      </c>
      <c r="N54" s="552">
        <f>NWC!N39*NWC!N$41</f>
        <v>0</v>
      </c>
      <c r="O54" s="552">
        <f>NWC!O39*NWC!O$41</f>
        <v>0</v>
      </c>
    </row>
    <row r="55" spans="1:15" hidden="1" outlineLevel="1">
      <c r="A55" s="480"/>
      <c r="B55" s="480"/>
      <c r="C55" s="483" t="s">
        <v>96</v>
      </c>
      <c r="D55" s="480" t="s">
        <v>97</v>
      </c>
      <c r="E55" s="480" t="s">
        <v>98</v>
      </c>
      <c r="F55" s="552">
        <f>NWC!F40*NWC!F$41</f>
        <v>0</v>
      </c>
      <c r="G55" s="552">
        <f>NWC!G40*NWC!G$41</f>
        <v>0</v>
      </c>
      <c r="H55" s="552">
        <f>NWC!H40*NWC!H$41</f>
        <v>0</v>
      </c>
      <c r="I55" s="552">
        <f>NWC!I40*NWC!I$41</f>
        <v>0</v>
      </c>
      <c r="J55" s="552">
        <f>NWC!J40*NWC!J$41</f>
        <v>0</v>
      </c>
      <c r="K55" s="552">
        <f>NWC!K40*NWC!K$41</f>
        <v>0</v>
      </c>
      <c r="L55" s="552">
        <f>NWC!L40*NWC!L$41</f>
        <v>0</v>
      </c>
      <c r="M55" s="552">
        <f>NWC!M40*NWC!M$41</f>
        <v>0</v>
      </c>
      <c r="N55" s="552">
        <f>NWC!N40*NWC!N$41</f>
        <v>0</v>
      </c>
      <c r="O55" s="552">
        <f>NWC!O40*NWC!O$41</f>
        <v>0</v>
      </c>
    </row>
    <row r="56" spans="1:15" s="5" customFormat="1" ht="15" collapsed="1">
      <c r="A56" s="480"/>
      <c r="B56" s="480"/>
      <c r="C56" s="504" t="s">
        <v>21</v>
      </c>
      <c r="D56" s="504" t="s">
        <v>99</v>
      </c>
      <c r="E56" s="504" t="s">
        <v>100</v>
      </c>
      <c r="F56" s="551">
        <f t="shared" ref="F56" si="58">SUM(F57,F62,F67)</f>
        <v>0</v>
      </c>
      <c r="G56" s="551">
        <f t="shared" ref="G56" si="59">SUM(G57,G62,G67)</f>
        <v>55955118</v>
      </c>
      <c r="H56" s="551">
        <f t="shared" ref="H56" si="60">SUM(H57,H62,H67)</f>
        <v>63927495.75</v>
      </c>
      <c r="I56" s="551">
        <f t="shared" ref="I56" si="61">SUM(I57,I62,I67)</f>
        <v>71900312.418750003</v>
      </c>
      <c r="J56" s="551">
        <f t="shared" ref="J56:K56" si="62">SUM(J57,J62,J67)</f>
        <v>71910963.757593751</v>
      </c>
      <c r="K56" s="551">
        <f t="shared" si="62"/>
        <v>71922094.406685472</v>
      </c>
      <c r="L56" s="551">
        <f>SUM(L57,L62,L67)</f>
        <v>71929848.758886039</v>
      </c>
      <c r="M56" s="551">
        <f>SUM(M57,M62,M67)</f>
        <v>71937835.741652608</v>
      </c>
      <c r="N56" s="551">
        <f>SUM(N57,N62,N67)</f>
        <v>71946062.333902195</v>
      </c>
      <c r="O56" s="551">
        <f>SUM(O57,O62,O67)</f>
        <v>71954535.723919258</v>
      </c>
    </row>
    <row r="57" spans="1:15" hidden="1" outlineLevel="1">
      <c r="A57" s="480"/>
      <c r="B57" s="480"/>
      <c r="C57" s="483" t="s">
        <v>9</v>
      </c>
      <c r="D57" s="480" t="s">
        <v>101</v>
      </c>
      <c r="E57" s="480" t="s">
        <v>102</v>
      </c>
      <c r="F57" s="553">
        <f>SUM(F58,F61)</f>
        <v>0</v>
      </c>
      <c r="G57" s="553">
        <f t="shared" ref="G57" si="63">SUM(G58,G61)</f>
        <v>0</v>
      </c>
      <c r="H57" s="553">
        <f t="shared" ref="H57" si="64">SUM(H58,H61)</f>
        <v>0</v>
      </c>
      <c r="I57" s="553">
        <f t="shared" ref="I57" si="65">SUM(I58,I61)</f>
        <v>0</v>
      </c>
      <c r="J57" s="553">
        <f t="shared" ref="J57:K57" si="66">SUM(J58,J61)</f>
        <v>0</v>
      </c>
      <c r="K57" s="553">
        <f t="shared" si="66"/>
        <v>0</v>
      </c>
      <c r="L57" s="553">
        <f>SUM(L58,L61)</f>
        <v>0</v>
      </c>
      <c r="M57" s="553">
        <f>SUM(M58,M61)</f>
        <v>0</v>
      </c>
      <c r="N57" s="553">
        <f>SUM(N58,N61)</f>
        <v>0</v>
      </c>
      <c r="O57" s="553">
        <f>SUM(O58,O61)</f>
        <v>0</v>
      </c>
    </row>
    <row r="58" spans="1:15" hidden="1" outlineLevel="1">
      <c r="A58" s="480"/>
      <c r="B58" s="480"/>
      <c r="C58" s="482" t="s">
        <v>3</v>
      </c>
      <c r="D58" s="480" t="s">
        <v>103</v>
      </c>
      <c r="E58" s="480" t="s">
        <v>104</v>
      </c>
      <c r="F58" s="553">
        <f t="shared" ref="F58" si="67">SUM(F59:F60)</f>
        <v>0</v>
      </c>
      <c r="G58" s="553">
        <f t="shared" ref="G58" si="68">SUM(G59:G60)</f>
        <v>0</v>
      </c>
      <c r="H58" s="553">
        <f t="shared" ref="H58" si="69">SUM(H59:H60)</f>
        <v>0</v>
      </c>
      <c r="I58" s="553">
        <f t="shared" ref="I58" si="70">SUM(I59:I60)</f>
        <v>0</v>
      </c>
      <c r="J58" s="553">
        <f t="shared" ref="J58:K58" si="71">SUM(J59:J60)</f>
        <v>0</v>
      </c>
      <c r="K58" s="553">
        <f t="shared" si="71"/>
        <v>0</v>
      </c>
      <c r="L58" s="553">
        <f>SUM(L59:L60)</f>
        <v>0</v>
      </c>
      <c r="M58" s="553">
        <f>SUM(M59:M60)</f>
        <v>0</v>
      </c>
      <c r="N58" s="553">
        <f>SUM(N59:N60)</f>
        <v>0</v>
      </c>
      <c r="O58" s="553">
        <f>SUM(O59:O60)</f>
        <v>0</v>
      </c>
    </row>
    <row r="59" spans="1:15" hidden="1" outlineLevel="1">
      <c r="A59" s="480"/>
      <c r="B59" s="480"/>
      <c r="C59" s="484" t="s">
        <v>62</v>
      </c>
      <c r="D59" s="480" t="s">
        <v>105</v>
      </c>
      <c r="E59" s="480" t="s">
        <v>106</v>
      </c>
      <c r="F59" s="552">
        <v>0</v>
      </c>
      <c r="G59" s="552">
        <f t="shared" ref="G59:K59" si="72">F59</f>
        <v>0</v>
      </c>
      <c r="H59" s="552">
        <f t="shared" si="72"/>
        <v>0</v>
      </c>
      <c r="I59" s="552">
        <f t="shared" si="72"/>
        <v>0</v>
      </c>
      <c r="J59" s="552">
        <f t="shared" si="72"/>
        <v>0</v>
      </c>
      <c r="K59" s="552">
        <f t="shared" si="72"/>
        <v>0</v>
      </c>
      <c r="L59" s="552">
        <f>K59</f>
        <v>0</v>
      </c>
      <c r="M59" s="552">
        <f>L59</f>
        <v>0</v>
      </c>
      <c r="N59" s="552">
        <f>M59</f>
        <v>0</v>
      </c>
      <c r="O59" s="552">
        <f>N59</f>
        <v>0</v>
      </c>
    </row>
    <row r="60" spans="1:15" hidden="1" outlineLevel="1">
      <c r="A60" s="480"/>
      <c r="B60" s="480"/>
      <c r="C60" s="484" t="s">
        <v>62</v>
      </c>
      <c r="D60" s="480" t="s">
        <v>107</v>
      </c>
      <c r="E60" s="480" t="s">
        <v>108</v>
      </c>
      <c r="F60" s="552"/>
      <c r="G60" s="552"/>
      <c r="H60" s="552"/>
      <c r="I60" s="552"/>
      <c r="J60" s="552"/>
      <c r="K60" s="552"/>
      <c r="L60" s="552"/>
      <c r="M60" s="552"/>
      <c r="N60" s="552"/>
      <c r="O60" s="552"/>
    </row>
    <row r="61" spans="1:15" hidden="1" outlineLevel="1">
      <c r="A61" s="480"/>
      <c r="B61" s="480"/>
      <c r="C61" s="482" t="s">
        <v>28</v>
      </c>
      <c r="D61" s="480" t="s">
        <v>109</v>
      </c>
      <c r="E61" s="480" t="s">
        <v>110</v>
      </c>
      <c r="F61" s="552"/>
      <c r="G61" s="552"/>
      <c r="H61" s="552"/>
      <c r="I61" s="552"/>
      <c r="J61" s="552"/>
      <c r="K61" s="552"/>
      <c r="L61" s="552"/>
      <c r="M61" s="552"/>
      <c r="N61" s="552"/>
      <c r="O61" s="552"/>
    </row>
    <row r="62" spans="1:15" hidden="1" outlineLevel="1">
      <c r="A62" s="480"/>
      <c r="B62" s="480"/>
      <c r="C62" s="483" t="s">
        <v>12</v>
      </c>
      <c r="D62" s="480" t="s">
        <v>111</v>
      </c>
      <c r="E62" s="480" t="s">
        <v>112</v>
      </c>
      <c r="F62" s="553">
        <f t="shared" ref="F62" si="73">SUM(F63,F66)</f>
        <v>0</v>
      </c>
      <c r="G62" s="553">
        <f t="shared" ref="G62" si="74">SUM(G63,G66)</f>
        <v>0</v>
      </c>
      <c r="H62" s="553">
        <f t="shared" ref="H62" si="75">SUM(H63,H66)</f>
        <v>0</v>
      </c>
      <c r="I62" s="553">
        <f t="shared" ref="I62" si="76">SUM(I63,I66)</f>
        <v>0</v>
      </c>
      <c r="J62" s="553">
        <f t="shared" ref="J62:K62" si="77">SUM(J63,J66)</f>
        <v>0</v>
      </c>
      <c r="K62" s="553">
        <f t="shared" si="77"/>
        <v>0</v>
      </c>
      <c r="L62" s="553">
        <f>SUM(L63,L66)</f>
        <v>0</v>
      </c>
      <c r="M62" s="553">
        <f>SUM(M63,M66)</f>
        <v>0</v>
      </c>
      <c r="N62" s="553">
        <f>SUM(N63,N66)</f>
        <v>0</v>
      </c>
      <c r="O62" s="553">
        <f>SUM(O63,O66)</f>
        <v>0</v>
      </c>
    </row>
    <row r="63" spans="1:15" hidden="1" outlineLevel="1">
      <c r="A63" s="480"/>
      <c r="B63" s="480"/>
      <c r="C63" s="482" t="s">
        <v>3</v>
      </c>
      <c r="D63" s="480" t="s">
        <v>103</v>
      </c>
      <c r="E63" s="480" t="s">
        <v>104</v>
      </c>
      <c r="F63" s="553">
        <f t="shared" ref="F63" si="78">SUM(F64:F65)</f>
        <v>0</v>
      </c>
      <c r="G63" s="553">
        <f t="shared" ref="G63" si="79">SUM(G64:G65)</f>
        <v>0</v>
      </c>
      <c r="H63" s="553">
        <f t="shared" ref="H63" si="80">SUM(H64:H65)</f>
        <v>0</v>
      </c>
      <c r="I63" s="553">
        <f t="shared" ref="I63" si="81">SUM(I64:I65)</f>
        <v>0</v>
      </c>
      <c r="J63" s="553">
        <f t="shared" ref="J63:K63" si="82">SUM(J64:J65)</f>
        <v>0</v>
      </c>
      <c r="K63" s="553">
        <f t="shared" si="82"/>
        <v>0</v>
      </c>
      <c r="L63" s="553">
        <f>SUM(L64:L65)</f>
        <v>0</v>
      </c>
      <c r="M63" s="553">
        <f>SUM(M64:M65)</f>
        <v>0</v>
      </c>
      <c r="N63" s="553">
        <f>SUM(N64:N65)</f>
        <v>0</v>
      </c>
      <c r="O63" s="553">
        <f>SUM(O64:O65)</f>
        <v>0</v>
      </c>
    </row>
    <row r="64" spans="1:15" hidden="1" outlineLevel="1">
      <c r="A64" s="480"/>
      <c r="B64" s="480"/>
      <c r="C64" s="484" t="s">
        <v>62</v>
      </c>
      <c r="D64" s="480" t="s">
        <v>105</v>
      </c>
      <c r="E64" s="480" t="s">
        <v>106</v>
      </c>
      <c r="F64" s="552"/>
      <c r="G64" s="552"/>
      <c r="H64" s="552"/>
      <c r="I64" s="552"/>
      <c r="J64" s="552"/>
      <c r="K64" s="552"/>
      <c r="L64" s="552"/>
      <c r="M64" s="552"/>
      <c r="N64" s="552"/>
      <c r="O64" s="552"/>
    </row>
    <row r="65" spans="1:15" hidden="1" outlineLevel="1">
      <c r="A65" s="480"/>
      <c r="B65" s="480"/>
      <c r="C65" s="484" t="s">
        <v>62</v>
      </c>
      <c r="D65" s="480" t="s">
        <v>107</v>
      </c>
      <c r="E65" s="480" t="s">
        <v>108</v>
      </c>
      <c r="F65" s="552"/>
      <c r="G65" s="552"/>
      <c r="H65" s="552"/>
      <c r="I65" s="552"/>
      <c r="J65" s="552"/>
      <c r="K65" s="552"/>
      <c r="L65" s="552"/>
      <c r="M65" s="552"/>
      <c r="N65" s="552"/>
      <c r="O65" s="552"/>
    </row>
    <row r="66" spans="1:15" hidden="1" outlineLevel="1">
      <c r="A66" s="480"/>
      <c r="B66" s="480"/>
      <c r="C66" s="482" t="s">
        <v>28</v>
      </c>
      <c r="D66" s="480" t="s">
        <v>109</v>
      </c>
      <c r="E66" s="480" t="s">
        <v>110</v>
      </c>
      <c r="F66" s="552"/>
      <c r="G66" s="552"/>
      <c r="H66" s="552"/>
      <c r="I66" s="552"/>
      <c r="J66" s="552"/>
      <c r="K66" s="552"/>
      <c r="L66" s="552"/>
      <c r="M66" s="552"/>
      <c r="N66" s="552"/>
      <c r="O66" s="552"/>
    </row>
    <row r="67" spans="1:15" collapsed="1">
      <c r="A67" s="480"/>
      <c r="B67" s="480"/>
      <c r="C67" s="483" t="s">
        <v>15</v>
      </c>
      <c r="D67" s="480" t="s">
        <v>113</v>
      </c>
      <c r="E67" s="480" t="s">
        <v>114</v>
      </c>
      <c r="F67" s="553">
        <f t="shared" ref="F67:K67" si="83">SUM(F68,F147,F72,F73)</f>
        <v>0</v>
      </c>
      <c r="G67" s="553">
        <f t="shared" si="83"/>
        <v>55955118</v>
      </c>
      <c r="H67" s="553">
        <f t="shared" si="83"/>
        <v>63927495.75</v>
      </c>
      <c r="I67" s="553">
        <f t="shared" si="83"/>
        <v>71900312.418750003</v>
      </c>
      <c r="J67" s="553">
        <f t="shared" si="83"/>
        <v>71910963.757593751</v>
      </c>
      <c r="K67" s="553">
        <f t="shared" si="83"/>
        <v>71922094.406685472</v>
      </c>
      <c r="L67" s="553">
        <f>SUM(L68,L147,L72,L73)</f>
        <v>71929848.758886039</v>
      </c>
      <c r="M67" s="553">
        <f>SUM(M68,M147,M72,M73)</f>
        <v>71937835.741652608</v>
      </c>
      <c r="N67" s="553">
        <f>SUM(N68,N147,N72,N73)</f>
        <v>71946062.333902195</v>
      </c>
      <c r="O67" s="553">
        <f>SUM(O68,O147,O72,O73)</f>
        <v>71954535.723919258</v>
      </c>
    </row>
    <row r="68" spans="1:15">
      <c r="A68" s="480"/>
      <c r="B68" s="480"/>
      <c r="C68" s="482" t="s">
        <v>3</v>
      </c>
      <c r="D68" s="480" t="s">
        <v>103</v>
      </c>
      <c r="E68" s="480" t="s">
        <v>104</v>
      </c>
      <c r="F68" s="553">
        <f>SUM(F69:F70)</f>
        <v>0</v>
      </c>
      <c r="G68" s="553">
        <f t="shared" ref="G68" si="84">SUM(G69:G70)</f>
        <v>55738368</v>
      </c>
      <c r="H68" s="553">
        <f t="shared" ref="H68" si="85">SUM(H69:H70)</f>
        <v>63700992</v>
      </c>
      <c r="I68" s="553">
        <f t="shared" ref="I68" si="86">SUM(I69:I70)</f>
        <v>71663616</v>
      </c>
      <c r="J68" s="553">
        <f t="shared" ref="J68:K68" si="87">SUM(J69:J70)</f>
        <v>71663616</v>
      </c>
      <c r="K68" s="553">
        <f t="shared" si="87"/>
        <v>71663616</v>
      </c>
      <c r="L68" s="553">
        <f>SUM(L69:L70)</f>
        <v>71663616</v>
      </c>
      <c r="M68" s="553">
        <f>SUM(M69:M70)</f>
        <v>71663616</v>
      </c>
      <c r="N68" s="553">
        <f>SUM(N69:N70)</f>
        <v>71663616</v>
      </c>
      <c r="O68" s="553">
        <f>SUM(O69:O70)</f>
        <v>71663616</v>
      </c>
    </row>
    <row r="69" spans="1:15">
      <c r="A69" s="480"/>
      <c r="B69" s="480"/>
      <c r="C69" s="484" t="s">
        <v>62</v>
      </c>
      <c r="D69" s="480" t="s">
        <v>105</v>
      </c>
      <c r="E69" s="480" t="s">
        <v>106</v>
      </c>
      <c r="F69" s="552">
        <f>NWC!F12</f>
        <v>0</v>
      </c>
      <c r="G69" s="552">
        <f>NWC!G12</f>
        <v>55738368</v>
      </c>
      <c r="H69" s="552">
        <f>NWC!H12</f>
        <v>63700992</v>
      </c>
      <c r="I69" s="552">
        <f>NWC!I12</f>
        <v>71663616</v>
      </c>
      <c r="J69" s="552">
        <f>NWC!J12</f>
        <v>71663616</v>
      </c>
      <c r="K69" s="552">
        <f>NWC!K12</f>
        <v>71663616</v>
      </c>
      <c r="L69" s="552">
        <f>NWC!L12</f>
        <v>71663616</v>
      </c>
      <c r="M69" s="552">
        <f>NWC!M12</f>
        <v>71663616</v>
      </c>
      <c r="N69" s="552">
        <f>NWC!N12</f>
        <v>71663616</v>
      </c>
      <c r="O69" s="552">
        <f>NWC!O12</f>
        <v>71663616</v>
      </c>
    </row>
    <row r="70" spans="1:15">
      <c r="A70" s="480"/>
      <c r="B70" s="480"/>
      <c r="C70" s="484" t="s">
        <v>62</v>
      </c>
      <c r="D70" s="480" t="s">
        <v>107</v>
      </c>
      <c r="E70" s="480" t="s">
        <v>108</v>
      </c>
      <c r="F70" s="552"/>
      <c r="G70" s="552"/>
      <c r="H70" s="552"/>
      <c r="I70" s="552"/>
      <c r="J70" s="552"/>
      <c r="K70" s="552"/>
      <c r="L70" s="552"/>
      <c r="M70" s="552"/>
      <c r="N70" s="552"/>
      <c r="O70" s="552"/>
    </row>
    <row r="71" spans="1:15">
      <c r="A71" s="480"/>
      <c r="B71" s="480"/>
      <c r="C71" s="482" t="s">
        <v>28</v>
      </c>
      <c r="D71" s="480" t="s">
        <v>115</v>
      </c>
      <c r="E71" s="480" t="s">
        <v>116</v>
      </c>
      <c r="F71" s="552">
        <v>0</v>
      </c>
      <c r="G71" s="552">
        <v>0</v>
      </c>
      <c r="H71" s="552">
        <v>0</v>
      </c>
      <c r="I71" s="552">
        <v>0</v>
      </c>
      <c r="J71" s="552">
        <v>0</v>
      </c>
      <c r="K71" s="552">
        <v>0</v>
      </c>
      <c r="L71" s="552">
        <v>0</v>
      </c>
      <c r="M71" s="552">
        <v>0</v>
      </c>
      <c r="N71" s="552">
        <v>0</v>
      </c>
      <c r="O71" s="552">
        <v>0</v>
      </c>
    </row>
    <row r="72" spans="1:15">
      <c r="A72" s="480"/>
      <c r="B72" s="480"/>
      <c r="C72" s="482" t="s">
        <v>31</v>
      </c>
      <c r="D72" s="480" t="s">
        <v>109</v>
      </c>
      <c r="E72" s="480" t="s">
        <v>110</v>
      </c>
      <c r="F72" s="552">
        <v>0</v>
      </c>
      <c r="G72" s="552">
        <v>0</v>
      </c>
      <c r="H72" s="552">
        <v>0</v>
      </c>
      <c r="I72" s="552">
        <v>0</v>
      </c>
      <c r="J72" s="552">
        <v>0</v>
      </c>
      <c r="K72" s="552">
        <v>0</v>
      </c>
      <c r="L72" s="552">
        <v>0</v>
      </c>
      <c r="M72" s="552">
        <v>0</v>
      </c>
      <c r="N72" s="552">
        <v>0</v>
      </c>
      <c r="O72" s="552">
        <v>0</v>
      </c>
    </row>
    <row r="73" spans="1:15">
      <c r="A73" s="480"/>
      <c r="B73" s="480"/>
      <c r="C73" s="482" t="s">
        <v>34</v>
      </c>
      <c r="D73" s="480" t="s">
        <v>117</v>
      </c>
      <c r="E73" s="480" t="s">
        <v>118</v>
      </c>
      <c r="F73" s="552">
        <v>0</v>
      </c>
      <c r="G73" s="552">
        <f t="shared" ref="G73:K73" si="88">F73</f>
        <v>0</v>
      </c>
      <c r="H73" s="552">
        <f t="shared" si="88"/>
        <v>0</v>
      </c>
      <c r="I73" s="552">
        <f t="shared" si="88"/>
        <v>0</v>
      </c>
      <c r="J73" s="552">
        <f t="shared" si="88"/>
        <v>0</v>
      </c>
      <c r="K73" s="552">
        <f t="shared" si="88"/>
        <v>0</v>
      </c>
      <c r="L73" s="552">
        <f>K73</f>
        <v>0</v>
      </c>
      <c r="M73" s="552">
        <f>L73</f>
        <v>0</v>
      </c>
      <c r="N73" s="552">
        <f>M73</f>
        <v>0</v>
      </c>
      <c r="O73" s="552">
        <f>N73</f>
        <v>0</v>
      </c>
    </row>
    <row r="74" spans="1:15" s="5" customFormat="1" ht="15">
      <c r="A74" s="480"/>
      <c r="B74" s="480"/>
      <c r="C74" s="504" t="s">
        <v>44</v>
      </c>
      <c r="D74" s="504" t="s">
        <v>119</v>
      </c>
      <c r="E74" s="504"/>
      <c r="F74" s="551">
        <f t="shared" ref="F74" si="89">SUM(F75,F90)</f>
        <v>208891675.39799881</v>
      </c>
      <c r="G74" s="551">
        <f t="shared" ref="G74" si="90">SUM(G75,G90)</f>
        <v>193059136.48932308</v>
      </c>
      <c r="H74" s="551">
        <f t="shared" ref="H74" si="91">SUM(H75,H90)</f>
        <v>219484994.45770222</v>
      </c>
      <c r="I74" s="551">
        <f t="shared" ref="I74" si="92">SUM(I75,I90)</f>
        <v>348430068.94237071</v>
      </c>
      <c r="J74" s="551">
        <f t="shared" ref="J74:K74" si="93">SUM(J75,J90)</f>
        <v>301725734.70030141</v>
      </c>
      <c r="K74" s="551">
        <f t="shared" si="93"/>
        <v>38668921.268136799</v>
      </c>
      <c r="L74" s="551">
        <f>SUM(L75,L90)</f>
        <v>195705837.94097996</v>
      </c>
      <c r="M74" s="551">
        <f>SUM(M75,M90)</f>
        <v>343669614.95099002</v>
      </c>
      <c r="N74" s="551">
        <f>SUM(N75,N90)</f>
        <v>496618372.48453331</v>
      </c>
      <c r="O74" s="551">
        <f>SUM(O75,O90)</f>
        <v>655909714.11784029</v>
      </c>
    </row>
    <row r="75" spans="1:15">
      <c r="A75" s="480"/>
      <c r="B75" s="480"/>
      <c r="C75" s="483" t="s">
        <v>9</v>
      </c>
      <c r="D75" s="480" t="s">
        <v>120</v>
      </c>
      <c r="E75" s="480" t="s">
        <v>121</v>
      </c>
      <c r="F75" s="553">
        <f t="shared" ref="F75" si="94">SUM(F76,F81,F86)</f>
        <v>208891675.39799881</v>
      </c>
      <c r="G75" s="553">
        <f t="shared" ref="G75" si="95">SUM(G76,G81,G86)</f>
        <v>193059136.48932308</v>
      </c>
      <c r="H75" s="553">
        <f t="shared" ref="H75" si="96">SUM(H76,H81,H86)</f>
        <v>219484994.45770222</v>
      </c>
      <c r="I75" s="553">
        <f t="shared" ref="I75" si="97">SUM(I76,I81,I86)</f>
        <v>348430068.94237071</v>
      </c>
      <c r="J75" s="553">
        <f t="shared" ref="J75:K75" si="98">SUM(J76,J81,J86)</f>
        <v>301725734.70030141</v>
      </c>
      <c r="K75" s="553">
        <f t="shared" si="98"/>
        <v>38668921.268136799</v>
      </c>
      <c r="L75" s="553">
        <f>SUM(L76,L81,L86)</f>
        <v>195705837.94097996</v>
      </c>
      <c r="M75" s="553">
        <f>SUM(M76,M81,M86)</f>
        <v>343669614.95099002</v>
      </c>
      <c r="N75" s="553">
        <f>SUM(N76,N81,N86)</f>
        <v>496618372.48453331</v>
      </c>
      <c r="O75" s="553">
        <f>SUM(O76,O81,O86)</f>
        <v>655909714.11784029</v>
      </c>
    </row>
    <row r="76" spans="1:15" hidden="1" outlineLevel="1">
      <c r="A76" s="480"/>
      <c r="B76" s="480"/>
      <c r="C76" s="482" t="s">
        <v>3</v>
      </c>
      <c r="D76" s="480" t="s">
        <v>60</v>
      </c>
      <c r="E76" s="480" t="s">
        <v>61</v>
      </c>
      <c r="F76" s="553">
        <f t="shared" ref="F76" si="99">SUM(F77:F80)</f>
        <v>0</v>
      </c>
      <c r="G76" s="553">
        <f t="shared" ref="G76" si="100">SUM(G77:G80)</f>
        <v>0</v>
      </c>
      <c r="H76" s="553">
        <f t="shared" ref="H76" si="101">SUM(H77:H80)</f>
        <v>0</v>
      </c>
      <c r="I76" s="553">
        <f t="shared" ref="I76" si="102">SUM(I77:I80)</f>
        <v>0</v>
      </c>
      <c r="J76" s="553">
        <f t="shared" ref="J76:K76" si="103">SUM(J77:J80)</f>
        <v>0</v>
      </c>
      <c r="K76" s="553">
        <f t="shared" si="103"/>
        <v>0</v>
      </c>
      <c r="L76" s="553">
        <f>SUM(L77:L80)</f>
        <v>0</v>
      </c>
      <c r="M76" s="553">
        <f>SUM(M77:M80)</f>
        <v>0</v>
      </c>
      <c r="N76" s="553">
        <f>SUM(N77:N80)</f>
        <v>0</v>
      </c>
      <c r="O76" s="553">
        <f>SUM(O77:O80)</f>
        <v>0</v>
      </c>
    </row>
    <row r="77" spans="1:15" hidden="1" outlineLevel="1">
      <c r="A77" s="480"/>
      <c r="B77" s="480"/>
      <c r="C77" s="484" t="s">
        <v>62</v>
      </c>
      <c r="D77" s="480" t="s">
        <v>63</v>
      </c>
      <c r="E77" s="480" t="s">
        <v>64</v>
      </c>
      <c r="F77" s="552"/>
      <c r="G77" s="552"/>
      <c r="H77" s="552"/>
      <c r="I77" s="552"/>
      <c r="J77" s="552"/>
      <c r="K77" s="552"/>
      <c r="L77" s="552"/>
      <c r="M77" s="552"/>
      <c r="N77" s="552"/>
      <c r="O77" s="552"/>
    </row>
    <row r="78" spans="1:15" hidden="1" outlineLevel="1">
      <c r="A78" s="480"/>
      <c r="B78" s="480"/>
      <c r="C78" s="484" t="s">
        <v>62</v>
      </c>
      <c r="D78" s="480" t="s">
        <v>65</v>
      </c>
      <c r="E78" s="480" t="s">
        <v>66</v>
      </c>
      <c r="F78" s="552"/>
      <c r="G78" s="552"/>
      <c r="H78" s="552"/>
      <c r="I78" s="552"/>
      <c r="J78" s="552"/>
      <c r="K78" s="552"/>
      <c r="L78" s="552"/>
      <c r="M78" s="552"/>
      <c r="N78" s="552"/>
      <c r="O78" s="552"/>
    </row>
    <row r="79" spans="1:15" hidden="1" outlineLevel="1">
      <c r="A79" s="480"/>
      <c r="B79" s="480"/>
      <c r="C79" s="484" t="s">
        <v>62</v>
      </c>
      <c r="D79" s="480" t="s">
        <v>67</v>
      </c>
      <c r="E79" s="480" t="s">
        <v>68</v>
      </c>
      <c r="F79" s="552"/>
      <c r="G79" s="552"/>
      <c r="H79" s="552"/>
      <c r="I79" s="552"/>
      <c r="J79" s="552"/>
      <c r="K79" s="552"/>
      <c r="L79" s="552"/>
      <c r="M79" s="552"/>
      <c r="N79" s="552"/>
      <c r="O79" s="552"/>
    </row>
    <row r="80" spans="1:15" hidden="1" outlineLevel="1">
      <c r="A80" s="480"/>
      <c r="B80" s="480"/>
      <c r="C80" s="484" t="s">
        <v>62</v>
      </c>
      <c r="D80" s="480" t="s">
        <v>122</v>
      </c>
      <c r="E80" s="480" t="s">
        <v>123</v>
      </c>
      <c r="F80" s="552"/>
      <c r="G80" s="552"/>
      <c r="H80" s="552"/>
      <c r="I80" s="552"/>
      <c r="J80" s="552"/>
      <c r="K80" s="552"/>
      <c r="L80" s="552"/>
      <c r="M80" s="552"/>
      <c r="N80" s="552"/>
      <c r="O80" s="552"/>
    </row>
    <row r="81" spans="1:15" hidden="1" outlineLevel="1">
      <c r="A81" s="480"/>
      <c r="B81" s="480"/>
      <c r="C81" s="482" t="s">
        <v>28</v>
      </c>
      <c r="D81" s="480" t="s">
        <v>73</v>
      </c>
      <c r="E81" s="480" t="s">
        <v>74</v>
      </c>
      <c r="F81" s="553">
        <f t="shared" ref="F81" si="104">SUM(F82:F85)</f>
        <v>0</v>
      </c>
      <c r="G81" s="553">
        <f t="shared" ref="G81" si="105">SUM(G82:G85)</f>
        <v>0</v>
      </c>
      <c r="H81" s="553">
        <f t="shared" ref="H81" si="106">SUM(H82:H85)</f>
        <v>0</v>
      </c>
      <c r="I81" s="553">
        <f t="shared" ref="I81" si="107">SUM(I82:I85)</f>
        <v>0</v>
      </c>
      <c r="J81" s="553">
        <f t="shared" ref="J81:K81" si="108">SUM(J82:J85)</f>
        <v>0</v>
      </c>
      <c r="K81" s="553">
        <f t="shared" si="108"/>
        <v>0</v>
      </c>
      <c r="L81" s="553">
        <f>SUM(L82:L85)</f>
        <v>0</v>
      </c>
      <c r="M81" s="553">
        <f>SUM(M82:M85)</f>
        <v>0</v>
      </c>
      <c r="N81" s="553">
        <f>SUM(N82:N85)</f>
        <v>0</v>
      </c>
      <c r="O81" s="553">
        <f>SUM(O82:O85)</f>
        <v>0</v>
      </c>
    </row>
    <row r="82" spans="1:15" hidden="1" outlineLevel="1">
      <c r="A82" s="480"/>
      <c r="B82" s="480"/>
      <c r="C82" s="484" t="s">
        <v>62</v>
      </c>
      <c r="D82" s="480" t="s">
        <v>63</v>
      </c>
      <c r="E82" s="480" t="s">
        <v>64</v>
      </c>
      <c r="F82" s="552"/>
      <c r="G82" s="552"/>
      <c r="H82" s="552"/>
      <c r="I82" s="552"/>
      <c r="J82" s="552"/>
      <c r="K82" s="552"/>
      <c r="L82" s="552"/>
      <c r="M82" s="552"/>
      <c r="N82" s="552"/>
      <c r="O82" s="552"/>
    </row>
    <row r="83" spans="1:15" hidden="1" outlineLevel="1">
      <c r="A83" s="480"/>
      <c r="B83" s="480"/>
      <c r="C83" s="484" t="s">
        <v>62</v>
      </c>
      <c r="D83" s="480" t="s">
        <v>65</v>
      </c>
      <c r="E83" s="480" t="s">
        <v>66</v>
      </c>
      <c r="F83" s="552"/>
      <c r="G83" s="552"/>
      <c r="H83" s="552"/>
      <c r="I83" s="552"/>
      <c r="J83" s="552"/>
      <c r="K83" s="552"/>
      <c r="L83" s="552"/>
      <c r="M83" s="552"/>
      <c r="N83" s="552"/>
      <c r="O83" s="552"/>
    </row>
    <row r="84" spans="1:15" hidden="1" outlineLevel="1">
      <c r="A84" s="480"/>
      <c r="B84" s="480"/>
      <c r="C84" s="484" t="s">
        <v>62</v>
      </c>
      <c r="D84" s="480" t="s">
        <v>67</v>
      </c>
      <c r="E84" s="480" t="s">
        <v>68</v>
      </c>
      <c r="F84" s="552">
        <v>0</v>
      </c>
      <c r="G84" s="552">
        <f t="shared" ref="G84:K84" si="109">F84</f>
        <v>0</v>
      </c>
      <c r="H84" s="552">
        <f t="shared" si="109"/>
        <v>0</v>
      </c>
      <c r="I84" s="552">
        <f t="shared" si="109"/>
        <v>0</v>
      </c>
      <c r="J84" s="552">
        <f t="shared" si="109"/>
        <v>0</v>
      </c>
      <c r="K84" s="552">
        <f t="shared" si="109"/>
        <v>0</v>
      </c>
      <c r="L84" s="552">
        <f>K84</f>
        <v>0</v>
      </c>
      <c r="M84" s="552">
        <f>L84</f>
        <v>0</v>
      </c>
      <c r="N84" s="552">
        <f>M84</f>
        <v>0</v>
      </c>
      <c r="O84" s="552">
        <f>N84</f>
        <v>0</v>
      </c>
    </row>
    <row r="85" spans="1:15" hidden="1" outlineLevel="1">
      <c r="A85" s="480"/>
      <c r="B85" s="480"/>
      <c r="C85" s="484" t="s">
        <v>62</v>
      </c>
      <c r="D85" s="480" t="s">
        <v>122</v>
      </c>
      <c r="E85" s="480" t="s">
        <v>123</v>
      </c>
      <c r="F85" s="552"/>
      <c r="G85" s="552"/>
      <c r="H85" s="552"/>
      <c r="I85" s="552"/>
      <c r="J85" s="552"/>
      <c r="K85" s="552"/>
      <c r="L85" s="552"/>
      <c r="M85" s="552"/>
      <c r="N85" s="552"/>
      <c r="O85" s="552"/>
    </row>
    <row r="86" spans="1:15" collapsed="1">
      <c r="A86" s="480"/>
      <c r="B86" s="480"/>
      <c r="C86" s="482" t="s">
        <v>31</v>
      </c>
      <c r="D86" s="480" t="s">
        <v>124</v>
      </c>
      <c r="E86" s="480" t="s">
        <v>125</v>
      </c>
      <c r="F86" s="553">
        <f t="shared" ref="F86" si="110">SUM(F87:F89)</f>
        <v>208891675.39799881</v>
      </c>
      <c r="G86" s="553">
        <f t="shared" ref="G86" si="111">SUM(G87:G89)</f>
        <v>193059136.48932308</v>
      </c>
      <c r="H86" s="553">
        <f t="shared" ref="H86" si="112">SUM(H87:H89)</f>
        <v>219484994.45770222</v>
      </c>
      <c r="I86" s="553">
        <f t="shared" ref="I86" si="113">SUM(I87:I89)</f>
        <v>348430068.94237071</v>
      </c>
      <c r="J86" s="553">
        <f t="shared" ref="J86:K86" si="114">SUM(J87:J89)</f>
        <v>301725734.70030141</v>
      </c>
      <c r="K86" s="553">
        <f t="shared" si="114"/>
        <v>38668921.268136799</v>
      </c>
      <c r="L86" s="553">
        <f>SUM(L87:L89)</f>
        <v>195705837.94097996</v>
      </c>
      <c r="M86" s="553">
        <f>SUM(M87:M89)</f>
        <v>343669614.95099002</v>
      </c>
      <c r="N86" s="553">
        <f>SUM(N87:N89)</f>
        <v>496618372.48453331</v>
      </c>
      <c r="O86" s="553">
        <f>SUM(O87:O89)</f>
        <v>655909714.11784029</v>
      </c>
    </row>
    <row r="87" spans="1:15">
      <c r="A87" s="480"/>
      <c r="B87" s="480"/>
      <c r="C87" s="484" t="s">
        <v>62</v>
      </c>
      <c r="D87" s="480" t="s">
        <v>126</v>
      </c>
      <c r="E87" s="480" t="s">
        <v>127</v>
      </c>
      <c r="F87" s="554">
        <f>CF!F66</f>
        <v>208891675.39799881</v>
      </c>
      <c r="G87" s="554">
        <f>CF!G66</f>
        <v>193059136.48932308</v>
      </c>
      <c r="H87" s="554">
        <f>CF!H66</f>
        <v>219484994.45770222</v>
      </c>
      <c r="I87" s="554">
        <f>CF!I66</f>
        <v>348430068.94237071</v>
      </c>
      <c r="J87" s="554">
        <f>CF!J66</f>
        <v>301725734.70030141</v>
      </c>
      <c r="K87" s="554">
        <f>CF!K66</f>
        <v>38668921.268136799</v>
      </c>
      <c r="L87" s="554">
        <f>CF!L66</f>
        <v>195705837.94097996</v>
      </c>
      <c r="M87" s="554">
        <f>CF!M66</f>
        <v>343669614.95099002</v>
      </c>
      <c r="N87" s="554">
        <f>CF!N66</f>
        <v>496618372.48453331</v>
      </c>
      <c r="O87" s="554">
        <f>CF!O66</f>
        <v>655909714.11784029</v>
      </c>
    </row>
    <row r="88" spans="1:15">
      <c r="A88" s="480"/>
      <c r="B88" s="480"/>
      <c r="C88" s="484" t="s">
        <v>62</v>
      </c>
      <c r="D88" s="480" t="s">
        <v>128</v>
      </c>
      <c r="E88" s="480" t="s">
        <v>129</v>
      </c>
      <c r="F88" s="552"/>
      <c r="G88" s="552"/>
      <c r="H88" s="552"/>
      <c r="I88" s="552"/>
      <c r="J88" s="552"/>
      <c r="K88" s="552"/>
      <c r="L88" s="552"/>
      <c r="M88" s="552"/>
      <c r="N88" s="552"/>
      <c r="O88" s="552"/>
    </row>
    <row r="89" spans="1:15">
      <c r="A89" s="480"/>
      <c r="B89" s="480"/>
      <c r="C89" s="484" t="s">
        <v>62</v>
      </c>
      <c r="D89" s="480" t="s">
        <v>130</v>
      </c>
      <c r="E89" s="480" t="s">
        <v>131</v>
      </c>
      <c r="F89" s="552"/>
      <c r="G89" s="552"/>
      <c r="H89" s="552"/>
      <c r="I89" s="552"/>
      <c r="J89" s="552"/>
      <c r="K89" s="552"/>
      <c r="L89" s="552"/>
      <c r="M89" s="552"/>
      <c r="N89" s="552"/>
      <c r="O89" s="552"/>
    </row>
    <row r="90" spans="1:15">
      <c r="A90" s="480"/>
      <c r="B90" s="480"/>
      <c r="C90" s="483" t="s">
        <v>12</v>
      </c>
      <c r="D90" s="480" t="s">
        <v>132</v>
      </c>
      <c r="E90" s="480" t="s">
        <v>133</v>
      </c>
      <c r="F90" s="552"/>
      <c r="G90" s="552"/>
      <c r="H90" s="552"/>
      <c r="I90" s="552"/>
      <c r="J90" s="552"/>
      <c r="K90" s="552"/>
      <c r="L90" s="552"/>
      <c r="M90" s="552"/>
      <c r="N90" s="552"/>
      <c r="O90" s="552"/>
    </row>
    <row r="91" spans="1:15" s="5" customFormat="1" ht="15">
      <c r="A91" s="480"/>
      <c r="B91" s="480"/>
      <c r="C91" s="504" t="s">
        <v>53</v>
      </c>
      <c r="D91" s="504" t="s">
        <v>134</v>
      </c>
      <c r="E91" s="504" t="s">
        <v>135</v>
      </c>
      <c r="F91" s="551">
        <v>0</v>
      </c>
      <c r="G91" s="551">
        <f t="shared" ref="G91:K91" si="115">F91</f>
        <v>0</v>
      </c>
      <c r="H91" s="551">
        <f t="shared" si="115"/>
        <v>0</v>
      </c>
      <c r="I91" s="551">
        <f t="shared" si="115"/>
        <v>0</v>
      </c>
      <c r="J91" s="551">
        <f t="shared" si="115"/>
        <v>0</v>
      </c>
      <c r="K91" s="551">
        <f t="shared" si="115"/>
        <v>0</v>
      </c>
      <c r="L91" s="551">
        <f>K91</f>
        <v>0</v>
      </c>
      <c r="M91" s="551">
        <f>L91</f>
        <v>0</v>
      </c>
      <c r="N91" s="551">
        <f>M91</f>
        <v>0</v>
      </c>
      <c r="O91" s="551">
        <f>N91</f>
        <v>0</v>
      </c>
    </row>
    <row r="92" spans="1:15" s="5" customFormat="1" ht="15">
      <c r="A92" s="480"/>
      <c r="B92" s="480"/>
      <c r="C92" s="495" t="s">
        <v>31</v>
      </c>
      <c r="D92" s="495" t="s">
        <v>136</v>
      </c>
      <c r="E92" s="495" t="s">
        <v>137</v>
      </c>
      <c r="F92" s="555">
        <v>0</v>
      </c>
      <c r="G92" s="555">
        <f t="shared" ref="G92:K92" si="116">F92</f>
        <v>0</v>
      </c>
      <c r="H92" s="555">
        <f t="shared" si="116"/>
        <v>0</v>
      </c>
      <c r="I92" s="555">
        <f t="shared" si="116"/>
        <v>0</v>
      </c>
      <c r="J92" s="555">
        <f t="shared" si="116"/>
        <v>0</v>
      </c>
      <c r="K92" s="555">
        <f t="shared" si="116"/>
        <v>0</v>
      </c>
      <c r="L92" s="555">
        <f>K92</f>
        <v>0</v>
      </c>
      <c r="M92" s="555">
        <f>L92</f>
        <v>0</v>
      </c>
      <c r="N92" s="555">
        <f>M92</f>
        <v>0</v>
      </c>
      <c r="O92" s="555">
        <f>N92</f>
        <v>0</v>
      </c>
    </row>
    <row r="93" spans="1:15" s="5" customFormat="1" ht="15">
      <c r="A93" s="480"/>
      <c r="B93" s="480"/>
      <c r="C93" s="480" t="s">
        <v>34</v>
      </c>
      <c r="D93" s="480" t="s">
        <v>138</v>
      </c>
      <c r="E93" s="480" t="s">
        <v>139</v>
      </c>
      <c r="F93" s="552">
        <v>0</v>
      </c>
      <c r="G93" s="552">
        <f t="shared" ref="G93:K93" si="117">F93</f>
        <v>0</v>
      </c>
      <c r="H93" s="552">
        <f t="shared" si="117"/>
        <v>0</v>
      </c>
      <c r="I93" s="552">
        <f t="shared" si="117"/>
        <v>0</v>
      </c>
      <c r="J93" s="552">
        <f t="shared" si="117"/>
        <v>0</v>
      </c>
      <c r="K93" s="552">
        <f t="shared" si="117"/>
        <v>0</v>
      </c>
      <c r="L93" s="552">
        <f>K93</f>
        <v>0</v>
      </c>
      <c r="M93" s="552">
        <f>L93</f>
        <v>0</v>
      </c>
      <c r="N93" s="552">
        <f>M93</f>
        <v>0</v>
      </c>
      <c r="O93" s="552">
        <f>N93</f>
        <v>0</v>
      </c>
    </row>
    <row r="94" spans="1:15" s="5" customFormat="1" ht="15.75" thickBot="1">
      <c r="A94" s="480"/>
      <c r="B94" s="480"/>
      <c r="C94" s="508" t="s">
        <v>140</v>
      </c>
      <c r="D94" s="508"/>
      <c r="E94" s="508" t="s">
        <v>141</v>
      </c>
      <c r="F94" s="556">
        <f t="shared" ref="F94" si="118">SUM(F7,F49,F92,F93)</f>
        <v>3880941675.3979988</v>
      </c>
      <c r="G94" s="556">
        <f t="shared" ref="G94" si="119">SUM(G7,G49,G92,G93)</f>
        <v>3355159254.4893231</v>
      </c>
      <c r="H94" s="556">
        <f t="shared" ref="H94" si="120">SUM(H7,H49,H92,H93)</f>
        <v>2932864490.2077022</v>
      </c>
      <c r="I94" s="556">
        <f t="shared" ref="I94" si="121">SUM(I7,I49,I92,I93)</f>
        <v>2700655856.3611207</v>
      </c>
      <c r="J94" s="556">
        <f t="shared" ref="J94:K94" si="122">SUM(J7,J49,J92,J93)</f>
        <v>2555076242.2078953</v>
      </c>
      <c r="K94" s="556">
        <f t="shared" si="122"/>
        <v>2409515422.9873223</v>
      </c>
      <c r="L94" s="556">
        <f>SUM(L7,L49,L92,L93)</f>
        <v>2257311199.0717411</v>
      </c>
      <c r="M94" s="556">
        <f>SUM(M7,M49,M92,M93)</f>
        <v>2154808335.2534237</v>
      </c>
      <c r="N94" s="556">
        <f>SUM(N7,N49,N92,N93)</f>
        <v>2104463426.0654278</v>
      </c>
      <c r="O94" s="556">
        <f>SUM(O7,O49,O92,O93)</f>
        <v>2098345273.4224772</v>
      </c>
    </row>
    <row r="95" spans="1:15" ht="15" thickTop="1">
      <c r="A95" s="480"/>
      <c r="B95" s="480"/>
      <c r="C95" s="480"/>
      <c r="D95" s="480"/>
      <c r="E95" s="480"/>
      <c r="F95" s="552"/>
      <c r="G95" s="552"/>
      <c r="H95" s="552"/>
      <c r="I95" s="552"/>
      <c r="J95" s="552"/>
      <c r="K95" s="552"/>
      <c r="L95" s="552"/>
      <c r="M95" s="552"/>
      <c r="N95" s="552"/>
      <c r="O95" s="552"/>
    </row>
    <row r="96" spans="1:15">
      <c r="A96" s="480"/>
      <c r="B96" s="480"/>
      <c r="C96" s="495"/>
      <c r="D96" s="495"/>
      <c r="E96" s="495" t="s">
        <v>142</v>
      </c>
      <c r="F96" s="557">
        <f t="shared" ref="F96:J96" si="123">F6</f>
        <v>2026</v>
      </c>
      <c r="G96" s="557">
        <f t="shared" si="123"/>
        <v>2027</v>
      </c>
      <c r="H96" s="557">
        <f t="shared" si="123"/>
        <v>2028</v>
      </c>
      <c r="I96" s="557">
        <f t="shared" si="123"/>
        <v>2029</v>
      </c>
      <c r="J96" s="557">
        <f t="shared" si="123"/>
        <v>2030</v>
      </c>
      <c r="K96" s="557">
        <f t="shared" ref="K96" si="124">K6</f>
        <v>2031</v>
      </c>
      <c r="L96" s="557">
        <f>L6</f>
        <v>2032</v>
      </c>
      <c r="M96" s="557">
        <f>M6</f>
        <v>2033</v>
      </c>
      <c r="N96" s="557">
        <f>N6</f>
        <v>2034</v>
      </c>
      <c r="O96" s="557">
        <f>O6</f>
        <v>2035</v>
      </c>
    </row>
    <row r="97" spans="1:15">
      <c r="A97" s="480"/>
      <c r="B97" s="480"/>
      <c r="C97" s="498" t="s">
        <v>3</v>
      </c>
      <c r="D97" s="498" t="s">
        <v>143</v>
      </c>
      <c r="E97" s="498" t="s">
        <v>144</v>
      </c>
      <c r="F97" s="550">
        <f>SUM(F98,F99,F101,F103,F106,F107,F108)</f>
        <v>808443346.63087571</v>
      </c>
      <c r="G97" s="550">
        <f t="shared" ref="G97" si="125">SUM(G98,G99,G101,G103,G106,G107,G108)</f>
        <v>529000750.63087571</v>
      </c>
      <c r="H97" s="550">
        <f t="shared" ref="H97" si="126">SUM(H98,H99,H101,H103,H106,H107,H108)</f>
        <v>459412704.33087575</v>
      </c>
      <c r="I97" s="550">
        <f t="shared" ref="I97" si="127">SUM(I98,I99,I101,I103,I106,I107,I108)</f>
        <v>577129136.43937576</v>
      </c>
      <c r="J97" s="550">
        <f t="shared" ref="J97:K97" si="128">SUM(J98,J99,J101,J103,J106,J107,J108)</f>
        <v>780938846.81739819</v>
      </c>
      <c r="K97" s="550">
        <f t="shared" si="128"/>
        <v>978105865.72262537</v>
      </c>
      <c r="L97" s="550">
        <f>SUM(L98,L99,L101,L103,L106,L107,L108)</f>
        <v>1163329585.1390119</v>
      </c>
      <c r="M97" s="550">
        <f>SUM(M98,M99,M101,M103,M106,M107,M108)</f>
        <v>1408778466.5894673</v>
      </c>
      <c r="N97" s="550">
        <f>SUM(N98,N99,N101,N103,N106,N107,N108)</f>
        <v>1704936144.8116629</v>
      </c>
      <c r="O97" s="550">
        <f>SUM(O98,O99,O101,O103,O106,O107,O108)</f>
        <v>2044155987.0921359</v>
      </c>
    </row>
    <row r="98" spans="1:15" s="5" customFormat="1" ht="15">
      <c r="A98" s="480"/>
      <c r="B98" s="480"/>
      <c r="C98" s="504" t="s">
        <v>6</v>
      </c>
      <c r="D98" s="504" t="s">
        <v>145</v>
      </c>
      <c r="E98" s="504" t="s">
        <v>146</v>
      </c>
      <c r="F98" s="551">
        <f>+CF!F47</f>
        <v>812047346.63087571</v>
      </c>
      <c r="G98" s="551">
        <f t="shared" ref="G98:K98" si="129">F98</f>
        <v>812047346.63087571</v>
      </c>
      <c r="H98" s="551">
        <f t="shared" si="129"/>
        <v>812047346.63087571</v>
      </c>
      <c r="I98" s="551">
        <f t="shared" si="129"/>
        <v>812047346.63087571</v>
      </c>
      <c r="J98" s="551">
        <f t="shared" si="129"/>
        <v>812047346.63087571</v>
      </c>
      <c r="K98" s="551">
        <f t="shared" si="129"/>
        <v>812047346.63087571</v>
      </c>
      <c r="L98" s="551">
        <f>K98</f>
        <v>812047346.63087571</v>
      </c>
      <c r="M98" s="551">
        <f>L98</f>
        <v>812047346.63087571</v>
      </c>
      <c r="N98" s="551">
        <f>M98</f>
        <v>812047346.63087571</v>
      </c>
      <c r="O98" s="551">
        <f>N98</f>
        <v>812047346.63087571</v>
      </c>
    </row>
    <row r="99" spans="1:15" s="5" customFormat="1" ht="15">
      <c r="A99" s="480"/>
      <c r="B99" s="480"/>
      <c r="C99" s="504" t="s">
        <v>21</v>
      </c>
      <c r="D99" s="504" t="s">
        <v>147</v>
      </c>
      <c r="E99" s="504" t="s">
        <v>148</v>
      </c>
      <c r="F99" s="551">
        <v>0</v>
      </c>
      <c r="G99" s="551">
        <f>F107+F99</f>
        <v>-3604000</v>
      </c>
      <c r="H99" s="551">
        <f>G107+G99</f>
        <v>-283046596</v>
      </c>
      <c r="I99" s="551">
        <f t="shared" ref="I99:K99" si="130">H107+H99</f>
        <v>-352634642.29999995</v>
      </c>
      <c r="J99" s="551">
        <f t="shared" si="130"/>
        <v>-234918210.19149992</v>
      </c>
      <c r="K99" s="551">
        <f t="shared" si="130"/>
        <v>-31108499.813477486</v>
      </c>
      <c r="L99" s="551">
        <f>K107+K99</f>
        <v>166058519.0917497</v>
      </c>
      <c r="M99" s="551">
        <f>L107+L99</f>
        <v>351282238.50813615</v>
      </c>
      <c r="N99" s="551">
        <f>M107+M99</f>
        <v>596731119.95859158</v>
      </c>
      <c r="O99" s="551">
        <f>N107+N99</f>
        <v>892888798.18078709</v>
      </c>
    </row>
    <row r="100" spans="1:15">
      <c r="A100" s="480"/>
      <c r="B100" s="480"/>
      <c r="C100" s="484" t="s">
        <v>62</v>
      </c>
      <c r="D100" s="480" t="s">
        <v>149</v>
      </c>
      <c r="E100" s="480" t="s">
        <v>150</v>
      </c>
      <c r="F100" s="552"/>
      <c r="G100" s="552"/>
      <c r="H100" s="552"/>
      <c r="I100" s="552"/>
      <c r="J100" s="552"/>
      <c r="K100" s="552"/>
      <c r="L100" s="552"/>
      <c r="M100" s="552"/>
      <c r="N100" s="552"/>
      <c r="O100" s="552"/>
    </row>
    <row r="101" spans="1:15" s="5" customFormat="1" ht="15">
      <c r="A101" s="480"/>
      <c r="B101" s="480"/>
      <c r="C101" s="504" t="s">
        <v>44</v>
      </c>
      <c r="D101" s="504" t="s">
        <v>151</v>
      </c>
      <c r="E101" s="504" t="s">
        <v>152</v>
      </c>
      <c r="F101" s="551"/>
      <c r="G101" s="551"/>
      <c r="H101" s="551"/>
      <c r="I101" s="551"/>
      <c r="J101" s="551"/>
      <c r="K101" s="551"/>
      <c r="L101" s="551"/>
      <c r="M101" s="551"/>
      <c r="N101" s="551"/>
      <c r="O101" s="551"/>
    </row>
    <row r="102" spans="1:15">
      <c r="A102" s="480"/>
      <c r="B102" s="480"/>
      <c r="C102" s="484" t="s">
        <v>62</v>
      </c>
      <c r="D102" s="480" t="s">
        <v>153</v>
      </c>
      <c r="E102" s="480" t="s">
        <v>154</v>
      </c>
      <c r="F102" s="552"/>
      <c r="G102" s="552"/>
      <c r="H102" s="552"/>
      <c r="I102" s="552"/>
      <c r="J102" s="552"/>
      <c r="K102" s="552"/>
      <c r="L102" s="552"/>
      <c r="M102" s="552"/>
      <c r="N102" s="552"/>
      <c r="O102" s="552"/>
    </row>
    <row r="103" spans="1:15" s="5" customFormat="1" ht="15">
      <c r="A103" s="480"/>
      <c r="B103" s="480"/>
      <c r="C103" s="504" t="s">
        <v>53</v>
      </c>
      <c r="D103" s="504" t="s">
        <v>155</v>
      </c>
      <c r="E103" s="504" t="s">
        <v>156</v>
      </c>
      <c r="F103" s="551"/>
      <c r="G103" s="551"/>
      <c r="H103" s="551"/>
      <c r="I103" s="551"/>
      <c r="J103" s="551"/>
      <c r="K103" s="551"/>
      <c r="L103" s="551"/>
      <c r="M103" s="551"/>
      <c r="N103" s="551"/>
      <c r="O103" s="551"/>
    </row>
    <row r="104" spans="1:15">
      <c r="A104" s="480"/>
      <c r="B104" s="480"/>
      <c r="C104" s="484" t="s">
        <v>62</v>
      </c>
      <c r="D104" s="480" t="s">
        <v>157</v>
      </c>
      <c r="E104" s="480" t="s">
        <v>158</v>
      </c>
      <c r="F104" s="552"/>
      <c r="G104" s="552"/>
      <c r="H104" s="552"/>
      <c r="I104" s="552"/>
      <c r="J104" s="552"/>
      <c r="K104" s="552"/>
      <c r="L104" s="552"/>
      <c r="M104" s="552"/>
      <c r="N104" s="552"/>
      <c r="O104" s="552"/>
    </row>
    <row r="105" spans="1:15">
      <c r="A105" s="480"/>
      <c r="B105" s="480"/>
      <c r="C105" s="484" t="s">
        <v>62</v>
      </c>
      <c r="D105" s="480" t="s">
        <v>159</v>
      </c>
      <c r="E105" s="480" t="s">
        <v>160</v>
      </c>
      <c r="F105" s="552"/>
      <c r="G105" s="552"/>
      <c r="H105" s="552"/>
      <c r="I105" s="552"/>
      <c r="J105" s="552"/>
      <c r="K105" s="552"/>
      <c r="L105" s="552"/>
      <c r="M105" s="552"/>
      <c r="N105" s="552"/>
      <c r="O105" s="552"/>
    </row>
    <row r="106" spans="1:15" s="5" customFormat="1" ht="15">
      <c r="A106" s="480"/>
      <c r="B106" s="480"/>
      <c r="C106" s="504" t="s">
        <v>77</v>
      </c>
      <c r="D106" s="504" t="s">
        <v>161</v>
      </c>
      <c r="E106" s="504" t="s">
        <v>162</v>
      </c>
      <c r="F106" s="551"/>
      <c r="G106" s="551"/>
      <c r="H106" s="551"/>
      <c r="I106" s="551"/>
      <c r="J106" s="551"/>
      <c r="K106" s="551"/>
      <c r="L106" s="551"/>
      <c r="M106" s="551"/>
      <c r="N106" s="551"/>
      <c r="O106" s="551"/>
    </row>
    <row r="107" spans="1:15" s="5" customFormat="1" ht="15">
      <c r="A107" s="480"/>
      <c r="B107" s="480"/>
      <c r="C107" s="548" t="s">
        <v>163</v>
      </c>
      <c r="D107" s="548" t="s">
        <v>164</v>
      </c>
      <c r="E107" s="548" t="s">
        <v>165</v>
      </c>
      <c r="F107" s="558">
        <f>'P&amp;L'!F62</f>
        <v>-3604000</v>
      </c>
      <c r="G107" s="558">
        <f>'P&amp;L'!G62</f>
        <v>-279442596</v>
      </c>
      <c r="H107" s="558">
        <f>'P&amp;L'!H62</f>
        <v>-69588046.299999923</v>
      </c>
      <c r="I107" s="558">
        <f>'P&amp;L'!I62</f>
        <v>117716432.10850003</v>
      </c>
      <c r="J107" s="558">
        <f>'P&amp;L'!J62</f>
        <v>203809710.37802243</v>
      </c>
      <c r="K107" s="558">
        <f>'P&amp;L'!K62</f>
        <v>197167018.90522718</v>
      </c>
      <c r="L107" s="558">
        <f>'P&amp;L'!L62</f>
        <v>185223719.41638649</v>
      </c>
      <c r="M107" s="558">
        <f>'P&amp;L'!M62</f>
        <v>245448881.45045546</v>
      </c>
      <c r="N107" s="558">
        <f>'P&amp;L'!N62</f>
        <v>296157678.22219557</v>
      </c>
      <c r="O107" s="558">
        <f>'P&amp;L'!O62</f>
        <v>339219842.28047323</v>
      </c>
    </row>
    <row r="108" spans="1:15" s="5" customFormat="1" ht="15">
      <c r="A108" s="480"/>
      <c r="B108" s="480"/>
      <c r="C108" s="504" t="s">
        <v>166</v>
      </c>
      <c r="D108" s="504" t="s">
        <v>167</v>
      </c>
      <c r="E108" s="504" t="s">
        <v>168</v>
      </c>
      <c r="F108" s="551">
        <v>0</v>
      </c>
      <c r="G108" s="551">
        <f t="shared" ref="G108:K108" si="131">F108</f>
        <v>0</v>
      </c>
      <c r="H108" s="551">
        <f t="shared" si="131"/>
        <v>0</v>
      </c>
      <c r="I108" s="551">
        <f t="shared" si="131"/>
        <v>0</v>
      </c>
      <c r="J108" s="551">
        <f t="shared" si="131"/>
        <v>0</v>
      </c>
      <c r="K108" s="551">
        <f t="shared" si="131"/>
        <v>0</v>
      </c>
      <c r="L108" s="551">
        <f>K108</f>
        <v>0</v>
      </c>
      <c r="M108" s="551">
        <f>L108</f>
        <v>0</v>
      </c>
      <c r="N108" s="551">
        <f>M108</f>
        <v>0</v>
      </c>
      <c r="O108" s="551">
        <f>N108</f>
        <v>0</v>
      </c>
    </row>
    <row r="109" spans="1:15" s="5" customFormat="1" ht="15">
      <c r="A109" s="480"/>
      <c r="B109" s="480"/>
      <c r="C109" s="498" t="s">
        <v>28</v>
      </c>
      <c r="D109" s="498" t="s">
        <v>169</v>
      </c>
      <c r="E109" s="498" t="s">
        <v>170</v>
      </c>
      <c r="F109" s="550">
        <f t="shared" ref="F109" si="132">SUM(F110,F118,F127,F151)</f>
        <v>3072498328.7671232</v>
      </c>
      <c r="G109" s="550">
        <f t="shared" ref="G109" si="133">SUM(G110,G118,G127,G151)</f>
        <v>2826158503.8584476</v>
      </c>
      <c r="H109" s="550">
        <f t="shared" ref="H109" si="134">SUM(H110,H118,H127,H151)</f>
        <v>2473451785.8768263</v>
      </c>
      <c r="I109" s="550">
        <f t="shared" ref="I109" si="135">SUM(I110,I118,I127,I151)</f>
        <v>2123526719.9217446</v>
      </c>
      <c r="J109" s="550">
        <f t="shared" ref="J109:K109" si="136">SUM(J110,J118,J127,J151)</f>
        <v>1774137395.3904967</v>
      </c>
      <c r="K109" s="550">
        <f t="shared" si="136"/>
        <v>1431409557.2646966</v>
      </c>
      <c r="L109" s="550">
        <f>SUM(L110,L118,L127,L151)</f>
        <v>1093981613.9327288</v>
      </c>
      <c r="M109" s="550">
        <f>SUM(M110,M118,M127,M151)</f>
        <v>746029868.66395628</v>
      </c>
      <c r="N109" s="550">
        <f>SUM(N110,N118,N127,N151)</f>
        <v>399527281.25376439</v>
      </c>
      <c r="O109" s="550">
        <f>SUM(O110,O118,O127,O151)</f>
        <v>54189286.330340408</v>
      </c>
    </row>
    <row r="110" spans="1:15" s="5" customFormat="1" ht="15">
      <c r="A110" s="480"/>
      <c r="B110" s="480"/>
      <c r="C110" s="504" t="s">
        <v>6</v>
      </c>
      <c r="D110" s="504" t="s">
        <v>171</v>
      </c>
      <c r="E110" s="504" t="s">
        <v>146</v>
      </c>
      <c r="F110" s="551">
        <f t="shared" ref="F110" si="137">SUM(F111,F112,F115)</f>
        <v>0</v>
      </c>
      <c r="G110" s="551">
        <f t="shared" ref="G110" si="138">SUM(G111,G112,G115)</f>
        <v>0</v>
      </c>
      <c r="H110" s="551">
        <f t="shared" ref="H110" si="139">SUM(H111,H112,H115)</f>
        <v>0</v>
      </c>
      <c r="I110" s="551">
        <f t="shared" ref="I110" si="140">SUM(I111,I112,I115)</f>
        <v>0</v>
      </c>
      <c r="J110" s="551">
        <f t="shared" ref="J110:K110" si="141">SUM(J111,J112,J115)</f>
        <v>0</v>
      </c>
      <c r="K110" s="551">
        <f t="shared" si="141"/>
        <v>0</v>
      </c>
      <c r="L110" s="551">
        <f>SUM(L111,L112,L115)</f>
        <v>0</v>
      </c>
      <c r="M110" s="551">
        <f>SUM(M111,M112,M115)</f>
        <v>0</v>
      </c>
      <c r="N110" s="551">
        <f>SUM(N111,N112,N115)</f>
        <v>0</v>
      </c>
      <c r="O110" s="551">
        <f>SUM(O111,O112,O115)</f>
        <v>0</v>
      </c>
    </row>
    <row r="111" spans="1:15">
      <c r="A111" s="480"/>
      <c r="B111" s="480"/>
      <c r="C111" s="483" t="s">
        <v>9</v>
      </c>
      <c r="D111" s="480" t="s">
        <v>172</v>
      </c>
      <c r="E111" s="480" t="s">
        <v>173</v>
      </c>
      <c r="F111" s="552"/>
      <c r="G111" s="552"/>
      <c r="H111" s="552"/>
      <c r="I111" s="552"/>
      <c r="J111" s="552"/>
      <c r="K111" s="552"/>
      <c r="L111" s="552"/>
      <c r="M111" s="552"/>
      <c r="N111" s="552"/>
      <c r="O111" s="552"/>
    </row>
    <row r="112" spans="1:15">
      <c r="A112" s="480"/>
      <c r="B112" s="480"/>
      <c r="C112" s="483" t="s">
        <v>12</v>
      </c>
      <c r="D112" s="480" t="s">
        <v>174</v>
      </c>
      <c r="E112" s="480" t="s">
        <v>175</v>
      </c>
      <c r="F112" s="553">
        <f t="shared" ref="F112" si="142">SUM(F113:F114)</f>
        <v>0</v>
      </c>
      <c r="G112" s="553">
        <f t="shared" ref="G112" si="143">SUM(G113:G114)</f>
        <v>0</v>
      </c>
      <c r="H112" s="553">
        <f t="shared" ref="H112" si="144">SUM(H113:H114)</f>
        <v>0</v>
      </c>
      <c r="I112" s="553">
        <f t="shared" ref="I112" si="145">SUM(I113:I114)</f>
        <v>0</v>
      </c>
      <c r="J112" s="553">
        <f t="shared" ref="J112:K112" si="146">SUM(J113:J114)</f>
        <v>0</v>
      </c>
      <c r="K112" s="553">
        <f t="shared" si="146"/>
        <v>0</v>
      </c>
      <c r="L112" s="553">
        <f>SUM(L113:L114)</f>
        <v>0</v>
      </c>
      <c r="M112" s="553">
        <f>SUM(M113:M114)</f>
        <v>0</v>
      </c>
      <c r="N112" s="553">
        <f>SUM(N113:N114)</f>
        <v>0</v>
      </c>
      <c r="O112" s="553">
        <f>SUM(O113:O114)</f>
        <v>0</v>
      </c>
    </row>
    <row r="113" spans="1:16">
      <c r="A113" s="480"/>
      <c r="B113" s="480"/>
      <c r="C113" s="484" t="s">
        <v>62</v>
      </c>
      <c r="D113" s="480" t="s">
        <v>176</v>
      </c>
      <c r="E113" s="480" t="s">
        <v>177</v>
      </c>
      <c r="F113" s="552"/>
      <c r="G113" s="552"/>
      <c r="H113" s="552"/>
      <c r="I113" s="552"/>
      <c r="J113" s="552"/>
      <c r="K113" s="552"/>
      <c r="L113" s="552"/>
      <c r="M113" s="552"/>
      <c r="N113" s="552"/>
      <c r="O113" s="552"/>
    </row>
    <row r="114" spans="1:16">
      <c r="A114" s="480"/>
      <c r="B114" s="480"/>
      <c r="C114" s="484" t="s">
        <v>62</v>
      </c>
      <c r="D114" s="480" t="s">
        <v>178</v>
      </c>
      <c r="E114" s="480" t="s">
        <v>179</v>
      </c>
      <c r="F114" s="552"/>
      <c r="G114" s="552"/>
      <c r="H114" s="552"/>
      <c r="I114" s="552"/>
      <c r="J114" s="552"/>
      <c r="K114" s="552"/>
      <c r="L114" s="552"/>
      <c r="M114" s="552"/>
      <c r="N114" s="552"/>
      <c r="O114" s="552"/>
    </row>
    <row r="115" spans="1:16">
      <c r="A115" s="480"/>
      <c r="B115" s="480"/>
      <c r="C115" s="483" t="s">
        <v>15</v>
      </c>
      <c r="D115" s="480" t="s">
        <v>180</v>
      </c>
      <c r="E115" s="480" t="s">
        <v>181</v>
      </c>
      <c r="F115" s="553">
        <f t="shared" ref="F115" si="147">SUM(F116:F117)</f>
        <v>0</v>
      </c>
      <c r="G115" s="553">
        <f t="shared" ref="G115" si="148">SUM(G116:G117)</f>
        <v>0</v>
      </c>
      <c r="H115" s="553">
        <f t="shared" ref="H115" si="149">SUM(H116:H117)</f>
        <v>0</v>
      </c>
      <c r="I115" s="553">
        <f t="shared" ref="I115" si="150">SUM(I116:I117)</f>
        <v>0</v>
      </c>
      <c r="J115" s="553">
        <f t="shared" ref="J115:K115" si="151">SUM(J116:J117)</f>
        <v>0</v>
      </c>
      <c r="K115" s="553">
        <f t="shared" si="151"/>
        <v>0</v>
      </c>
      <c r="L115" s="553">
        <f>SUM(L116:L117)</f>
        <v>0</v>
      </c>
      <c r="M115" s="553">
        <f>SUM(M116:M117)</f>
        <v>0</v>
      </c>
      <c r="N115" s="553">
        <f>SUM(N116:N117)</f>
        <v>0</v>
      </c>
      <c r="O115" s="553">
        <f>SUM(O116:O117)</f>
        <v>0</v>
      </c>
    </row>
    <row r="116" spans="1:16">
      <c r="A116" s="480"/>
      <c r="B116" s="480"/>
      <c r="C116" s="484" t="s">
        <v>62</v>
      </c>
      <c r="D116" s="480" t="s">
        <v>182</v>
      </c>
      <c r="E116" s="480" t="s">
        <v>177</v>
      </c>
      <c r="F116" s="552"/>
      <c r="G116" s="552"/>
      <c r="H116" s="552"/>
      <c r="I116" s="552"/>
      <c r="J116" s="552"/>
      <c r="K116" s="552"/>
      <c r="L116" s="552"/>
      <c r="M116" s="552"/>
      <c r="N116" s="552"/>
      <c r="O116" s="552"/>
    </row>
    <row r="117" spans="1:16">
      <c r="A117" s="480"/>
      <c r="B117" s="480"/>
      <c r="C117" s="484" t="s">
        <v>62</v>
      </c>
      <c r="D117" s="480" t="s">
        <v>183</v>
      </c>
      <c r="E117" s="480" t="s">
        <v>179</v>
      </c>
      <c r="F117" s="552">
        <v>0</v>
      </c>
      <c r="G117" s="552">
        <f t="shared" ref="G117:K117" si="152">F117</f>
        <v>0</v>
      </c>
      <c r="H117" s="552">
        <f t="shared" si="152"/>
        <v>0</v>
      </c>
      <c r="I117" s="552">
        <f t="shared" si="152"/>
        <v>0</v>
      </c>
      <c r="J117" s="552">
        <f t="shared" si="152"/>
        <v>0</v>
      </c>
      <c r="K117" s="552">
        <f t="shared" si="152"/>
        <v>0</v>
      </c>
      <c r="L117" s="552"/>
      <c r="M117" s="552"/>
      <c r="N117" s="552"/>
      <c r="O117" s="552"/>
    </row>
    <row r="118" spans="1:16" s="5" customFormat="1" ht="15">
      <c r="A118" s="480"/>
      <c r="B118" s="480"/>
      <c r="C118" s="504" t="s">
        <v>21</v>
      </c>
      <c r="D118" s="504" t="s">
        <v>184</v>
      </c>
      <c r="E118" s="504" t="s">
        <v>185</v>
      </c>
      <c r="F118" s="551">
        <f t="shared" ref="F118" si="153">SUM(F119,F120,F121)</f>
        <v>3072000000</v>
      </c>
      <c r="G118" s="551">
        <f t="shared" ref="G118" si="154">SUM(G119,G120,G121)</f>
        <v>2730666666.6666665</v>
      </c>
      <c r="H118" s="551">
        <f t="shared" ref="H118" si="155">SUM(H119,H120,H121)</f>
        <v>2389333333.333333</v>
      </c>
      <c r="I118" s="551">
        <f t="shared" ref="I118" si="156">SUM(I119,I120,I121)</f>
        <v>2047999999.9999998</v>
      </c>
      <c r="J118" s="551">
        <f t="shared" ref="J118:K118" si="157">SUM(J119,J120,J121)</f>
        <v>1706666666.6666665</v>
      </c>
      <c r="K118" s="551">
        <f t="shared" si="157"/>
        <v>1365333333.3333333</v>
      </c>
      <c r="L118" s="551">
        <f>SUM(L119,L120,L121)</f>
        <v>1024000000</v>
      </c>
      <c r="M118" s="551">
        <f>SUM(M119,M120,M121)</f>
        <v>682666666.66666675</v>
      </c>
      <c r="N118" s="551">
        <f>SUM(N119,N120,N121)</f>
        <v>341333333.33333343</v>
      </c>
      <c r="O118" s="551">
        <f>SUM(O119,O120,O121)</f>
        <v>0</v>
      </c>
    </row>
    <row r="119" spans="1:16">
      <c r="A119" s="480"/>
      <c r="B119" s="480"/>
      <c r="C119" s="483" t="s">
        <v>9</v>
      </c>
      <c r="D119" s="480" t="s">
        <v>186</v>
      </c>
      <c r="E119" s="480" t="s">
        <v>187</v>
      </c>
      <c r="F119" s="552"/>
      <c r="G119" s="552"/>
      <c r="H119" s="552"/>
      <c r="I119" s="552"/>
      <c r="J119" s="552"/>
      <c r="K119" s="552"/>
      <c r="L119" s="552"/>
      <c r="M119" s="552"/>
      <c r="N119" s="552"/>
      <c r="O119" s="552"/>
    </row>
    <row r="120" spans="1:16">
      <c r="A120" s="480"/>
      <c r="B120" s="480"/>
      <c r="C120" s="483" t="s">
        <v>12</v>
      </c>
      <c r="D120" s="480" t="s">
        <v>188</v>
      </c>
      <c r="E120" s="480" t="s">
        <v>189</v>
      </c>
      <c r="F120" s="552"/>
      <c r="G120" s="552"/>
      <c r="H120" s="552"/>
      <c r="I120" s="552"/>
      <c r="J120" s="552"/>
      <c r="K120" s="552"/>
      <c r="L120" s="552"/>
      <c r="M120" s="552"/>
      <c r="N120" s="552"/>
      <c r="O120" s="552"/>
    </row>
    <row r="121" spans="1:16">
      <c r="A121" s="480"/>
      <c r="B121" s="480"/>
      <c r="C121" s="483" t="s">
        <v>15</v>
      </c>
      <c r="D121" s="480" t="s">
        <v>190</v>
      </c>
      <c r="E121" s="480" t="s">
        <v>191</v>
      </c>
      <c r="F121" s="553">
        <f t="shared" ref="F121" si="158">SUM(F122:F126)</f>
        <v>3072000000</v>
      </c>
      <c r="G121" s="553">
        <f t="shared" ref="G121" si="159">SUM(G122:G126)</f>
        <v>2730666666.6666665</v>
      </c>
      <c r="H121" s="553">
        <f t="shared" ref="H121" si="160">SUM(H122:H126)</f>
        <v>2389333333.333333</v>
      </c>
      <c r="I121" s="553">
        <f t="shared" ref="I121" si="161">SUM(I122:I126)</f>
        <v>2047999999.9999998</v>
      </c>
      <c r="J121" s="553">
        <f t="shared" ref="J121:K121" si="162">SUM(J122:J126)</f>
        <v>1706666666.6666665</v>
      </c>
      <c r="K121" s="553">
        <f t="shared" si="162"/>
        <v>1365333333.3333333</v>
      </c>
      <c r="L121" s="553">
        <f>SUM(L122:L126)</f>
        <v>1024000000</v>
      </c>
      <c r="M121" s="553">
        <f>SUM(M122:M126)</f>
        <v>682666666.66666675</v>
      </c>
      <c r="N121" s="553">
        <f>SUM(N122:N126)</f>
        <v>341333333.33333343</v>
      </c>
      <c r="O121" s="553">
        <f>SUM(O122:O126)</f>
        <v>0</v>
      </c>
    </row>
    <row r="122" spans="1:16">
      <c r="A122" s="480"/>
      <c r="B122" s="480"/>
      <c r="C122" s="482" t="s">
        <v>3</v>
      </c>
      <c r="D122" s="480" t="s">
        <v>192</v>
      </c>
      <c r="E122" s="480" t="s">
        <v>193</v>
      </c>
      <c r="F122" s="554">
        <f>Financing!E15</f>
        <v>3072000000</v>
      </c>
      <c r="G122" s="554">
        <f>Financing!I15</f>
        <v>2730666666.6666665</v>
      </c>
      <c r="H122" s="554">
        <f>Financing!M15</f>
        <v>2389333333.333333</v>
      </c>
      <c r="I122" s="554">
        <f>Financing!Q15</f>
        <v>2047999999.9999998</v>
      </c>
      <c r="J122" s="554">
        <f>Financing!U15</f>
        <v>1706666666.6666665</v>
      </c>
      <c r="K122" s="554">
        <f>Financing!Y15</f>
        <v>1365333333.3333333</v>
      </c>
      <c r="L122" s="554">
        <f>Financing!AC15</f>
        <v>1024000000</v>
      </c>
      <c r="M122" s="554">
        <f>Financing!AG15</f>
        <v>682666666.66666675</v>
      </c>
      <c r="N122" s="554">
        <f>Financing!AK15</f>
        <v>341333333.33333343</v>
      </c>
      <c r="O122" s="554">
        <f>Financing!AO15</f>
        <v>0</v>
      </c>
    </row>
    <row r="123" spans="1:16">
      <c r="A123" s="480"/>
      <c r="B123" s="480"/>
      <c r="C123" s="482" t="s">
        <v>28</v>
      </c>
      <c r="D123" s="480" t="s">
        <v>194</v>
      </c>
      <c r="E123" s="480" t="s">
        <v>195</v>
      </c>
      <c r="F123" s="552"/>
      <c r="G123" s="552"/>
      <c r="H123" s="552"/>
      <c r="I123" s="552"/>
      <c r="J123" s="552"/>
      <c r="K123" s="552"/>
      <c r="L123" s="552"/>
      <c r="M123" s="552"/>
      <c r="N123" s="552"/>
      <c r="O123" s="552"/>
    </row>
    <row r="124" spans="1:16">
      <c r="A124" s="480"/>
      <c r="B124" s="480"/>
      <c r="C124" s="482" t="s">
        <v>31</v>
      </c>
      <c r="D124" s="480" t="s">
        <v>196</v>
      </c>
      <c r="E124" s="480" t="s">
        <v>197</v>
      </c>
      <c r="F124" s="552"/>
      <c r="G124" s="552"/>
      <c r="H124" s="552"/>
      <c r="I124" s="552"/>
      <c r="J124" s="552"/>
      <c r="K124" s="552"/>
      <c r="L124" s="552"/>
      <c r="M124" s="552"/>
      <c r="N124" s="552"/>
      <c r="O124" s="552"/>
    </row>
    <row r="125" spans="1:16">
      <c r="A125" s="480"/>
      <c r="B125" s="480"/>
      <c r="C125" s="482" t="s">
        <v>34</v>
      </c>
      <c r="D125" s="480" t="s">
        <v>198</v>
      </c>
      <c r="E125" s="480" t="s">
        <v>199</v>
      </c>
      <c r="F125" s="552"/>
      <c r="G125" s="552"/>
      <c r="H125" s="552"/>
      <c r="I125" s="552"/>
      <c r="J125" s="552"/>
      <c r="K125" s="552"/>
      <c r="L125" s="552"/>
      <c r="M125" s="552"/>
      <c r="N125" s="552"/>
      <c r="O125" s="552"/>
    </row>
    <row r="126" spans="1:16">
      <c r="A126" s="480"/>
      <c r="B126" s="480"/>
      <c r="C126" s="482" t="s">
        <v>37</v>
      </c>
      <c r="D126" s="480" t="s">
        <v>196</v>
      </c>
      <c r="E126" s="480" t="s">
        <v>200</v>
      </c>
      <c r="F126" s="552"/>
      <c r="G126" s="552"/>
      <c r="H126" s="552"/>
      <c r="I126" s="552"/>
      <c r="J126" s="552"/>
      <c r="K126" s="552"/>
      <c r="L126" s="552"/>
      <c r="M126" s="552"/>
      <c r="N126" s="552"/>
      <c r="O126" s="552"/>
    </row>
    <row r="127" spans="1:16">
      <c r="A127" s="480"/>
      <c r="B127" s="480"/>
      <c r="C127" s="504" t="s">
        <v>44</v>
      </c>
      <c r="D127" s="504" t="s">
        <v>201</v>
      </c>
      <c r="E127" s="504" t="s">
        <v>202</v>
      </c>
      <c r="F127" s="551">
        <f t="shared" ref="F127" si="163">SUM(F128,F133,F138,F150)</f>
        <v>498328.76712328766</v>
      </c>
      <c r="G127" s="551">
        <f t="shared" ref="G127" si="164">SUM(G128,G133,G138,G150)</f>
        <v>95491837.19178082</v>
      </c>
      <c r="H127" s="551">
        <f t="shared" ref="H127" si="165">SUM(H128,H133,H138,H150)</f>
        <v>84118452.543493152</v>
      </c>
      <c r="I127" s="551">
        <f t="shared" ref="I127" si="166">SUM(I128,I133,I138,I150)</f>
        <v>75526719.921744853</v>
      </c>
      <c r="J127" s="551">
        <f t="shared" ref="J127:K127" si="167">SUM(J128,J133,J138,J150)</f>
        <v>67470728.723830104</v>
      </c>
      <c r="K127" s="551">
        <f t="shared" si="167"/>
        <v>66076223.931363299</v>
      </c>
      <c r="L127" s="551">
        <f>SUM(L128,L133,L138,L150)</f>
        <v>69981613.932728842</v>
      </c>
      <c r="M127" s="551">
        <f>SUM(M128,M133,M138,M150)</f>
        <v>63363201.997289501</v>
      </c>
      <c r="N127" s="551">
        <f>SUM(N128,N133,N138,N150)</f>
        <v>58193947.920430951</v>
      </c>
      <c r="O127" s="551">
        <f>SUM(O128,O133,O138,O150)</f>
        <v>54189286.330340408</v>
      </c>
      <c r="P127" s="14"/>
    </row>
    <row r="128" spans="1:16" hidden="1" outlineLevel="1">
      <c r="A128" s="480"/>
      <c r="B128" s="480"/>
      <c r="C128" s="483" t="s">
        <v>9</v>
      </c>
      <c r="D128" s="480" t="s">
        <v>203</v>
      </c>
      <c r="E128" s="480" t="s">
        <v>187</v>
      </c>
      <c r="F128" s="553">
        <f t="shared" ref="F128" si="168">SUM(F129,F132)</f>
        <v>0</v>
      </c>
      <c r="G128" s="553">
        <f t="shared" ref="G128" si="169">SUM(G129,G132)</f>
        <v>0</v>
      </c>
      <c r="H128" s="553">
        <f t="shared" ref="H128" si="170">SUM(H129,H132)</f>
        <v>0</v>
      </c>
      <c r="I128" s="553">
        <f t="shared" ref="I128" si="171">SUM(I129,I132)</f>
        <v>0</v>
      </c>
      <c r="J128" s="553">
        <f t="shared" ref="J128:K128" si="172">SUM(J129,J132)</f>
        <v>0</v>
      </c>
      <c r="K128" s="553">
        <f t="shared" si="172"/>
        <v>0</v>
      </c>
      <c r="L128" s="553">
        <f>SUM(L129,L132)</f>
        <v>0</v>
      </c>
      <c r="M128" s="553">
        <f>SUM(M129,M132)</f>
        <v>0</v>
      </c>
      <c r="N128" s="553">
        <f>SUM(N129,N132)</f>
        <v>0</v>
      </c>
      <c r="O128" s="553">
        <f>SUM(O129,O132)</f>
        <v>0</v>
      </c>
    </row>
    <row r="129" spans="1:15" hidden="1" outlineLevel="1">
      <c r="A129" s="480"/>
      <c r="B129" s="480"/>
      <c r="C129" s="482" t="s">
        <v>3</v>
      </c>
      <c r="D129" s="480" t="s">
        <v>204</v>
      </c>
      <c r="E129" s="480" t="s">
        <v>205</v>
      </c>
      <c r="F129" s="553">
        <f>SUM(F130:F131)</f>
        <v>0</v>
      </c>
      <c r="G129" s="553">
        <f t="shared" ref="G129" si="173">SUM(G130:G131)</f>
        <v>0</v>
      </c>
      <c r="H129" s="553">
        <f t="shared" ref="H129" si="174">SUM(H130:H131)</f>
        <v>0</v>
      </c>
      <c r="I129" s="553">
        <f t="shared" ref="I129" si="175">SUM(I130:I131)</f>
        <v>0</v>
      </c>
      <c r="J129" s="553">
        <f t="shared" ref="J129:K129" si="176">SUM(J130:J131)</f>
        <v>0</v>
      </c>
      <c r="K129" s="553">
        <f t="shared" si="176"/>
        <v>0</v>
      </c>
      <c r="L129" s="553">
        <f>SUM(L130:L131)</f>
        <v>0</v>
      </c>
      <c r="M129" s="553">
        <f>SUM(M130:M131)</f>
        <v>0</v>
      </c>
      <c r="N129" s="553">
        <f>SUM(N130:N131)</f>
        <v>0</v>
      </c>
      <c r="O129" s="553">
        <f>SUM(O130:O131)</f>
        <v>0</v>
      </c>
    </row>
    <row r="130" spans="1:15" hidden="1" outlineLevel="1">
      <c r="A130" s="480"/>
      <c r="B130" s="480"/>
      <c r="C130" s="484" t="s">
        <v>62</v>
      </c>
      <c r="D130" s="480" t="s">
        <v>105</v>
      </c>
      <c r="E130" s="480" t="s">
        <v>106</v>
      </c>
      <c r="F130" s="552"/>
      <c r="G130" s="552">
        <f t="shared" ref="G130:K130" si="177">F130</f>
        <v>0</v>
      </c>
      <c r="H130" s="552">
        <f t="shared" si="177"/>
        <v>0</v>
      </c>
      <c r="I130" s="552">
        <f t="shared" si="177"/>
        <v>0</v>
      </c>
      <c r="J130" s="552">
        <f t="shared" si="177"/>
        <v>0</v>
      </c>
      <c r="K130" s="552">
        <f t="shared" si="177"/>
        <v>0</v>
      </c>
      <c r="L130" s="552">
        <f>K130</f>
        <v>0</v>
      </c>
      <c r="M130" s="552">
        <f>L130</f>
        <v>0</v>
      </c>
      <c r="N130" s="552">
        <f>M130</f>
        <v>0</v>
      </c>
      <c r="O130" s="552">
        <f>N130</f>
        <v>0</v>
      </c>
    </row>
    <row r="131" spans="1:15" hidden="1" outlineLevel="1">
      <c r="A131" s="480"/>
      <c r="B131" s="480"/>
      <c r="C131" s="484" t="s">
        <v>62</v>
      </c>
      <c r="D131" s="480" t="s">
        <v>107</v>
      </c>
      <c r="E131" s="480" t="s">
        <v>108</v>
      </c>
      <c r="F131" s="552"/>
      <c r="G131" s="552"/>
      <c r="H131" s="552"/>
      <c r="I131" s="552"/>
      <c r="J131" s="552"/>
      <c r="K131" s="552"/>
      <c r="L131" s="552"/>
      <c r="M131" s="552"/>
      <c r="N131" s="552"/>
      <c r="O131" s="552"/>
    </row>
    <row r="132" spans="1:15" hidden="1" outlineLevel="1">
      <c r="A132" s="480"/>
      <c r="B132" s="480"/>
      <c r="C132" s="482" t="s">
        <v>28</v>
      </c>
      <c r="D132" s="480" t="s">
        <v>109</v>
      </c>
      <c r="E132" s="480" t="s">
        <v>110</v>
      </c>
      <c r="F132" s="552"/>
      <c r="G132" s="552"/>
      <c r="H132" s="552"/>
      <c r="I132" s="552"/>
      <c r="J132" s="552"/>
      <c r="K132" s="552"/>
      <c r="L132" s="552"/>
      <c r="M132" s="552"/>
      <c r="N132" s="552"/>
      <c r="O132" s="552"/>
    </row>
    <row r="133" spans="1:15" hidden="1" outlineLevel="1">
      <c r="A133" s="480"/>
      <c r="B133" s="480"/>
      <c r="C133" s="483" t="s">
        <v>12</v>
      </c>
      <c r="D133" s="480" t="s">
        <v>206</v>
      </c>
      <c r="E133" s="480" t="s">
        <v>189</v>
      </c>
      <c r="F133" s="553">
        <f t="shared" ref="F133" si="178">SUM(F134,F137)</f>
        <v>0</v>
      </c>
      <c r="G133" s="553">
        <f t="shared" ref="G133" si="179">SUM(G134,G137)</f>
        <v>0</v>
      </c>
      <c r="H133" s="553">
        <f t="shared" ref="H133" si="180">SUM(H134,H137)</f>
        <v>0</v>
      </c>
      <c r="I133" s="553">
        <f t="shared" ref="I133" si="181">SUM(I134,I137)</f>
        <v>0</v>
      </c>
      <c r="J133" s="553">
        <f t="shared" ref="J133:K133" si="182">SUM(J134,J137)</f>
        <v>0</v>
      </c>
      <c r="K133" s="553">
        <f t="shared" si="182"/>
        <v>0</v>
      </c>
      <c r="L133" s="553">
        <f>SUM(L134,L137)</f>
        <v>0</v>
      </c>
      <c r="M133" s="553">
        <f>SUM(M134,M137)</f>
        <v>0</v>
      </c>
      <c r="N133" s="553">
        <f>SUM(N134,N137)</f>
        <v>0</v>
      </c>
      <c r="O133" s="553">
        <f>SUM(O134,O137)</f>
        <v>0</v>
      </c>
    </row>
    <row r="134" spans="1:15" hidden="1" outlineLevel="1">
      <c r="A134" s="480"/>
      <c r="B134" s="480"/>
      <c r="C134" s="482" t="s">
        <v>3</v>
      </c>
      <c r="D134" s="480" t="s">
        <v>204</v>
      </c>
      <c r="E134" s="480" t="s">
        <v>205</v>
      </c>
      <c r="F134" s="553">
        <f t="shared" ref="F134" si="183">SUM(F135:F136)</f>
        <v>0</v>
      </c>
      <c r="G134" s="553">
        <f t="shared" ref="G134" si="184">SUM(G135:G136)</f>
        <v>0</v>
      </c>
      <c r="H134" s="553">
        <f t="shared" ref="H134" si="185">SUM(H135:H136)</f>
        <v>0</v>
      </c>
      <c r="I134" s="553">
        <f t="shared" ref="I134" si="186">SUM(I135:I136)</f>
        <v>0</v>
      </c>
      <c r="J134" s="553">
        <f t="shared" ref="J134:K134" si="187">SUM(J135:J136)</f>
        <v>0</v>
      </c>
      <c r="K134" s="553">
        <f t="shared" si="187"/>
        <v>0</v>
      </c>
      <c r="L134" s="553">
        <f>SUM(L135:L136)</f>
        <v>0</v>
      </c>
      <c r="M134" s="553">
        <f>SUM(M135:M136)</f>
        <v>0</v>
      </c>
      <c r="N134" s="553">
        <f>SUM(N135:N136)</f>
        <v>0</v>
      </c>
      <c r="O134" s="553">
        <f>SUM(O135:O136)</f>
        <v>0</v>
      </c>
    </row>
    <row r="135" spans="1:15" hidden="1" outlineLevel="1">
      <c r="A135" s="480"/>
      <c r="B135" s="480"/>
      <c r="C135" s="484" t="s">
        <v>62</v>
      </c>
      <c r="D135" s="480" t="s">
        <v>105</v>
      </c>
      <c r="E135" s="480" t="s">
        <v>106</v>
      </c>
      <c r="F135" s="552"/>
      <c r="G135" s="552"/>
      <c r="H135" s="552"/>
      <c r="I135" s="552"/>
      <c r="J135" s="552"/>
      <c r="K135" s="552"/>
      <c r="L135" s="552"/>
      <c r="M135" s="552"/>
      <c r="N135" s="552"/>
      <c r="O135" s="552"/>
    </row>
    <row r="136" spans="1:15" hidden="1" outlineLevel="1">
      <c r="A136" s="480"/>
      <c r="B136" s="480"/>
      <c r="C136" s="484" t="s">
        <v>62</v>
      </c>
      <c r="D136" s="480" t="s">
        <v>107</v>
      </c>
      <c r="E136" s="480" t="s">
        <v>108</v>
      </c>
      <c r="F136" s="552"/>
      <c r="G136" s="552"/>
      <c r="H136" s="552"/>
      <c r="I136" s="552"/>
      <c r="J136" s="552"/>
      <c r="K136" s="552"/>
      <c r="L136" s="552"/>
      <c r="M136" s="552"/>
      <c r="N136" s="552"/>
      <c r="O136" s="552"/>
    </row>
    <row r="137" spans="1:15" hidden="1" outlineLevel="1">
      <c r="A137" s="480"/>
      <c r="B137" s="480"/>
      <c r="C137" s="482" t="s">
        <v>28</v>
      </c>
      <c r="D137" s="480" t="s">
        <v>109</v>
      </c>
      <c r="E137" s="480" t="s">
        <v>110</v>
      </c>
      <c r="F137" s="552"/>
      <c r="G137" s="552"/>
      <c r="H137" s="552"/>
      <c r="I137" s="552"/>
      <c r="J137" s="552"/>
      <c r="K137" s="552"/>
      <c r="L137" s="552"/>
      <c r="M137" s="552"/>
      <c r="N137" s="552"/>
      <c r="O137" s="552"/>
    </row>
    <row r="138" spans="1:15" collapsed="1">
      <c r="A138" s="480"/>
      <c r="B138" s="480"/>
      <c r="C138" s="483" t="s">
        <v>15</v>
      </c>
      <c r="D138" s="480" t="s">
        <v>207</v>
      </c>
      <c r="E138" s="480" t="s">
        <v>191</v>
      </c>
      <c r="F138" s="553">
        <f t="shared" ref="F138:K138" si="188">SUM(F139,F140,F141,F142,F145,F146,F148,F149)</f>
        <v>498328.76712328766</v>
      </c>
      <c r="G138" s="553">
        <f t="shared" si="188"/>
        <v>95491837.19178082</v>
      </c>
      <c r="H138" s="553">
        <f t="shared" si="188"/>
        <v>84118452.543493152</v>
      </c>
      <c r="I138" s="553">
        <f t="shared" si="188"/>
        <v>75526719.921744853</v>
      </c>
      <c r="J138" s="553">
        <f t="shared" si="188"/>
        <v>67470728.723830104</v>
      </c>
      <c r="K138" s="553">
        <f t="shared" si="188"/>
        <v>66076223.931363299</v>
      </c>
      <c r="L138" s="553">
        <f>SUM(L139,L140,L141,L142,L145,L146,L148,L149)</f>
        <v>69981613.932728842</v>
      </c>
      <c r="M138" s="553">
        <f>SUM(M139,M140,M141,M142,M145,M146,M148,M149)</f>
        <v>63363201.997289501</v>
      </c>
      <c r="N138" s="553">
        <f>SUM(N139,N140,N141,N142,N145,N146,N148,N149)</f>
        <v>58193947.920430951</v>
      </c>
      <c r="O138" s="553">
        <f>SUM(O139,O140,O141,O142,O145,O146,O148,O149)</f>
        <v>54189286.330340408</v>
      </c>
    </row>
    <row r="139" spans="1:15">
      <c r="A139" s="480"/>
      <c r="B139" s="480"/>
      <c r="C139" s="482" t="s">
        <v>3</v>
      </c>
      <c r="D139" s="480" t="s">
        <v>192</v>
      </c>
      <c r="E139" s="480" t="s">
        <v>193</v>
      </c>
      <c r="F139" s="552">
        <v>0</v>
      </c>
      <c r="G139" s="552">
        <f t="shared" ref="G139:K141" si="189">F139</f>
        <v>0</v>
      </c>
      <c r="H139" s="552">
        <f t="shared" si="189"/>
        <v>0</v>
      </c>
      <c r="I139" s="552">
        <f t="shared" si="189"/>
        <v>0</v>
      </c>
      <c r="J139" s="552">
        <f t="shared" si="189"/>
        <v>0</v>
      </c>
      <c r="K139" s="552">
        <f t="shared" si="189"/>
        <v>0</v>
      </c>
      <c r="L139" s="552">
        <f>K139</f>
        <v>0</v>
      </c>
      <c r="M139" s="552">
        <f>L139</f>
        <v>0</v>
      </c>
      <c r="N139" s="552">
        <f>M139</f>
        <v>0</v>
      </c>
      <c r="O139" s="552">
        <f>N139</f>
        <v>0</v>
      </c>
    </row>
    <row r="140" spans="1:15">
      <c r="A140" s="480"/>
      <c r="B140" s="480"/>
      <c r="C140" s="482" t="s">
        <v>28</v>
      </c>
      <c r="D140" s="480" t="s">
        <v>194</v>
      </c>
      <c r="E140" s="480" t="s">
        <v>195</v>
      </c>
      <c r="F140" s="552"/>
      <c r="G140" s="552">
        <f t="shared" si="189"/>
        <v>0</v>
      </c>
      <c r="H140" s="552">
        <f t="shared" si="189"/>
        <v>0</v>
      </c>
      <c r="I140" s="552">
        <v>0</v>
      </c>
      <c r="J140" s="552">
        <v>0</v>
      </c>
      <c r="K140" s="552">
        <v>0</v>
      </c>
      <c r="L140" s="552">
        <v>0</v>
      </c>
      <c r="M140" s="552">
        <v>0</v>
      </c>
      <c r="N140" s="552">
        <v>0</v>
      </c>
      <c r="O140" s="552">
        <v>0</v>
      </c>
    </row>
    <row r="141" spans="1:15">
      <c r="A141" s="480"/>
      <c r="B141" s="480"/>
      <c r="C141" s="482" t="s">
        <v>31</v>
      </c>
      <c r="D141" s="480" t="s">
        <v>196</v>
      </c>
      <c r="E141" s="480" t="s">
        <v>197</v>
      </c>
      <c r="F141" s="552"/>
      <c r="G141" s="552">
        <f t="shared" si="189"/>
        <v>0</v>
      </c>
      <c r="H141" s="552">
        <f t="shared" si="189"/>
        <v>0</v>
      </c>
      <c r="I141" s="552">
        <f t="shared" si="189"/>
        <v>0</v>
      </c>
      <c r="J141" s="552">
        <f t="shared" si="189"/>
        <v>0</v>
      </c>
      <c r="K141" s="552">
        <f t="shared" si="189"/>
        <v>0</v>
      </c>
      <c r="L141" s="552">
        <f>K141</f>
        <v>0</v>
      </c>
      <c r="M141" s="552">
        <f>L141</f>
        <v>0</v>
      </c>
      <c r="N141" s="552">
        <f>M141</f>
        <v>0</v>
      </c>
      <c r="O141" s="552">
        <f>N141</f>
        <v>0</v>
      </c>
    </row>
    <row r="142" spans="1:15">
      <c r="A142" s="480"/>
      <c r="B142" s="480"/>
      <c r="C142" s="482" t="s">
        <v>34</v>
      </c>
      <c r="D142" s="480" t="s">
        <v>204</v>
      </c>
      <c r="E142" s="480" t="s">
        <v>205</v>
      </c>
      <c r="F142" s="553">
        <f t="shared" ref="F142" si="190">SUM(F143:F144)</f>
        <v>444328.76712328766</v>
      </c>
      <c r="G142" s="553">
        <f t="shared" ref="G142" si="191">SUM(G143:G144)</f>
        <v>94866502.19178082</v>
      </c>
      <c r="H142" s="553">
        <f t="shared" ref="H142" si="192">SUM(H143:H144)</f>
        <v>83462890.968493149</v>
      </c>
      <c r="I142" s="553">
        <f t="shared" ref="I142" si="193">SUM(I143:I144)</f>
        <v>74839425.520869851</v>
      </c>
      <c r="J142" s="553">
        <f t="shared" ref="J142:K142" si="194">SUM(J143:J144)</f>
        <v>66750117.241065726</v>
      </c>
      <c r="K142" s="553">
        <f t="shared" si="194"/>
        <v>65320628.879655026</v>
      </c>
      <c r="L142" s="553">
        <f>SUM(L143:L144)</f>
        <v>69203351.029469326</v>
      </c>
      <c r="M142" s="553">
        <f>SUM(M143:M144)</f>
        <v>62561591.206932195</v>
      </c>
      <c r="N142" s="553">
        <f>SUM(N143:N144)</f>
        <v>57368288.806362927</v>
      </c>
      <c r="O142" s="553">
        <f>SUM(O143:O144)</f>
        <v>53338857.442850344</v>
      </c>
    </row>
    <row r="143" spans="1:15">
      <c r="A143" s="480"/>
      <c r="B143" s="480"/>
      <c r="C143" s="484" t="s">
        <v>62</v>
      </c>
      <c r="D143" s="480" t="s">
        <v>105</v>
      </c>
      <c r="E143" s="480" t="s">
        <v>106</v>
      </c>
      <c r="F143" s="552">
        <f>NWC!F13</f>
        <v>444328.76712328766</v>
      </c>
      <c r="G143" s="552">
        <f>NWC!G13</f>
        <v>94866502.19178082</v>
      </c>
      <c r="H143" s="552">
        <f>NWC!H13</f>
        <v>83462890.968493149</v>
      </c>
      <c r="I143" s="552">
        <f>NWC!I13</f>
        <v>74839425.520869851</v>
      </c>
      <c r="J143" s="552">
        <f>NWC!J13</f>
        <v>66750117.241065726</v>
      </c>
      <c r="K143" s="552">
        <f>NWC!K13</f>
        <v>65320628.879655026</v>
      </c>
      <c r="L143" s="552">
        <f>NWC!L13</f>
        <v>69203351.029469326</v>
      </c>
      <c r="M143" s="552">
        <f>NWC!M13</f>
        <v>62561591.206932195</v>
      </c>
      <c r="N143" s="552">
        <f>NWC!N13</f>
        <v>57368288.806362927</v>
      </c>
      <c r="O143" s="552">
        <f>NWC!O13</f>
        <v>53338857.442850344</v>
      </c>
    </row>
    <row r="144" spans="1:15">
      <c r="A144" s="480"/>
      <c r="B144" s="480"/>
      <c r="C144" s="484" t="s">
        <v>62</v>
      </c>
      <c r="D144" s="480" t="s">
        <v>107</v>
      </c>
      <c r="E144" s="480" t="s">
        <v>108</v>
      </c>
      <c r="F144" s="552"/>
      <c r="G144" s="552"/>
      <c r="H144" s="552"/>
      <c r="I144" s="552"/>
      <c r="J144" s="552"/>
      <c r="K144" s="552"/>
      <c r="L144" s="552"/>
      <c r="M144" s="552"/>
      <c r="N144" s="552"/>
      <c r="O144" s="552"/>
    </row>
    <row r="145" spans="1:15">
      <c r="A145" s="480"/>
      <c r="B145" s="480"/>
      <c r="C145" s="482" t="s">
        <v>37</v>
      </c>
      <c r="D145" s="480" t="s">
        <v>208</v>
      </c>
      <c r="E145" s="480" t="s">
        <v>209</v>
      </c>
      <c r="F145" s="552"/>
      <c r="G145" s="552"/>
      <c r="H145" s="552"/>
      <c r="I145" s="552"/>
      <c r="J145" s="552"/>
      <c r="K145" s="552"/>
      <c r="L145" s="552"/>
      <c r="M145" s="552"/>
      <c r="N145" s="552"/>
      <c r="O145" s="552"/>
    </row>
    <row r="146" spans="1:15">
      <c r="A146" s="480"/>
      <c r="B146" s="480"/>
      <c r="C146" s="482" t="s">
        <v>210</v>
      </c>
      <c r="D146" s="480" t="s">
        <v>198</v>
      </c>
      <c r="E146" s="480" t="s">
        <v>211</v>
      </c>
      <c r="F146" s="552"/>
      <c r="G146" s="552"/>
      <c r="H146" s="552"/>
      <c r="I146" s="552"/>
      <c r="J146" s="552"/>
      <c r="K146" s="552"/>
      <c r="L146" s="552"/>
      <c r="M146" s="552"/>
      <c r="N146" s="552"/>
      <c r="O146" s="552"/>
    </row>
    <row r="147" spans="1:15">
      <c r="A147" s="480"/>
      <c r="B147" s="480"/>
      <c r="C147" s="482" t="s">
        <v>212</v>
      </c>
      <c r="D147" s="480" t="s">
        <v>115</v>
      </c>
      <c r="E147" s="480" t="s">
        <v>213</v>
      </c>
      <c r="F147" s="552">
        <f>Costs!F116/12</f>
        <v>0</v>
      </c>
      <c r="G147" s="552">
        <f>Costs!J116/12</f>
        <v>216750</v>
      </c>
      <c r="H147" s="552">
        <f>Costs!N116/12</f>
        <v>226503.75</v>
      </c>
      <c r="I147" s="552">
        <f>Costs!R116/12</f>
        <v>236696.41874999998</v>
      </c>
      <c r="J147" s="552">
        <f>Costs!V116/12</f>
        <v>247347.75759374999</v>
      </c>
      <c r="K147" s="552">
        <f>Costs!Z116/12</f>
        <v>258478.40668546871</v>
      </c>
      <c r="L147" s="552">
        <f>Costs!AD116/12</f>
        <v>266232.7588860328</v>
      </c>
      <c r="M147" s="552">
        <f>Costs!AH116/12</f>
        <v>274219.7416526138</v>
      </c>
      <c r="N147" s="552">
        <f>Costs!AL116/12</f>
        <v>282446.33390219219</v>
      </c>
      <c r="O147" s="552">
        <f>Costs!AP116/12</f>
        <v>290919.72391925793</v>
      </c>
    </row>
    <row r="148" spans="1:15">
      <c r="A148" s="480"/>
      <c r="B148" s="480"/>
      <c r="C148" s="482" t="s">
        <v>214</v>
      </c>
      <c r="D148" s="480" t="s">
        <v>215</v>
      </c>
      <c r="E148" s="480" t="s">
        <v>216</v>
      </c>
      <c r="F148" s="552">
        <f>(Costs!F26+Costs!F125)/12</f>
        <v>54000</v>
      </c>
      <c r="G148" s="552">
        <f>(Costs!J26+Costs!J125)/12</f>
        <v>625335</v>
      </c>
      <c r="H148" s="552">
        <f>(Costs!N26+Costs!N125)/12</f>
        <v>655561.57500000007</v>
      </c>
      <c r="I148" s="552">
        <f>(Costs!R125+Costs!R26)/12</f>
        <v>687294.40087499993</v>
      </c>
      <c r="J148" s="552">
        <f>(Costs!V26+Costs!V125)/12</f>
        <v>720611.48276437493</v>
      </c>
      <c r="K148" s="552">
        <f>(Costs!Z26+Costs!Z125)/12</f>
        <v>755595.05170827173</v>
      </c>
      <c r="L148" s="552">
        <f>(Costs!AD26+Costs!AD125)/12</f>
        <v>778262.90325951984</v>
      </c>
      <c r="M148" s="552">
        <f>(Costs!AH26+Costs!AH125)/12</f>
        <v>801610.79035730555</v>
      </c>
      <c r="N148" s="552">
        <f>(Costs!AL26+Costs!AL125)/12</f>
        <v>825659.11406802468</v>
      </c>
      <c r="O148" s="552">
        <f>(Costs!AP26+Costs!AP125)/12</f>
        <v>850428.8874900653</v>
      </c>
    </row>
    <row r="149" spans="1:15">
      <c r="A149" s="480"/>
      <c r="B149" s="480"/>
      <c r="C149" s="482" t="s">
        <v>6</v>
      </c>
      <c r="D149" s="480" t="s">
        <v>109</v>
      </c>
      <c r="E149" s="480" t="s">
        <v>110</v>
      </c>
      <c r="F149" s="552"/>
      <c r="G149" s="552"/>
      <c r="H149" s="552"/>
      <c r="I149" s="552"/>
      <c r="J149" s="552"/>
      <c r="K149" s="552"/>
      <c r="L149" s="552"/>
      <c r="M149" s="552"/>
      <c r="N149" s="552"/>
      <c r="O149" s="552"/>
    </row>
    <row r="150" spans="1:15">
      <c r="A150" s="480"/>
      <c r="B150" s="480"/>
      <c r="C150" s="483" t="s">
        <v>18</v>
      </c>
      <c r="D150" s="480" t="s">
        <v>217</v>
      </c>
      <c r="E150" s="480" t="s">
        <v>218</v>
      </c>
      <c r="F150" s="552"/>
      <c r="G150" s="552"/>
      <c r="H150" s="552"/>
      <c r="I150" s="552"/>
      <c r="J150" s="552"/>
      <c r="K150" s="552"/>
      <c r="L150" s="552"/>
      <c r="M150" s="552"/>
      <c r="N150" s="552"/>
      <c r="O150" s="552"/>
    </row>
    <row r="151" spans="1:15">
      <c r="A151" s="480"/>
      <c r="B151" s="480"/>
      <c r="C151" s="504" t="s">
        <v>53</v>
      </c>
      <c r="D151" s="504" t="s">
        <v>219</v>
      </c>
      <c r="E151" s="504" t="s">
        <v>220</v>
      </c>
      <c r="F151" s="551">
        <f>SUM(F152,F153)</f>
        <v>0</v>
      </c>
      <c r="G151" s="551">
        <f t="shared" ref="G151" si="195">SUM(G152,G153)</f>
        <v>0</v>
      </c>
      <c r="H151" s="551">
        <f t="shared" ref="H151" si="196">SUM(H152,H153)</f>
        <v>0</v>
      </c>
      <c r="I151" s="551">
        <f t="shared" ref="I151" si="197">SUM(I152,I153)</f>
        <v>0</v>
      </c>
      <c r="J151" s="551">
        <f t="shared" ref="J151:K151" si="198">SUM(J152,J153)</f>
        <v>0</v>
      </c>
      <c r="K151" s="551">
        <f t="shared" si="198"/>
        <v>0</v>
      </c>
      <c r="L151" s="551">
        <f>SUM(L152,L153)</f>
        <v>0</v>
      </c>
      <c r="M151" s="551">
        <f>SUM(M152,M153)</f>
        <v>0</v>
      </c>
      <c r="N151" s="551">
        <f>SUM(N152,N153)</f>
        <v>0</v>
      </c>
      <c r="O151" s="551">
        <f>SUM(O152,O153)</f>
        <v>0</v>
      </c>
    </row>
    <row r="152" spans="1:15">
      <c r="A152" s="480"/>
      <c r="B152" s="480"/>
      <c r="C152" s="483" t="s">
        <v>9</v>
      </c>
      <c r="D152" s="480" t="s">
        <v>221</v>
      </c>
      <c r="E152" s="480" t="s">
        <v>222</v>
      </c>
      <c r="F152" s="552"/>
      <c r="G152" s="552"/>
      <c r="H152" s="552"/>
      <c r="I152" s="552"/>
      <c r="J152" s="552"/>
      <c r="K152" s="552"/>
      <c r="L152" s="552"/>
      <c r="M152" s="552"/>
      <c r="N152" s="552"/>
      <c r="O152" s="552"/>
    </row>
    <row r="153" spans="1:15">
      <c r="A153" s="480"/>
      <c r="B153" s="480"/>
      <c r="C153" s="483" t="s">
        <v>12</v>
      </c>
      <c r="D153" s="480" t="s">
        <v>82</v>
      </c>
      <c r="E153" s="480" t="s">
        <v>223</v>
      </c>
      <c r="F153" s="553">
        <f>F154+F155</f>
        <v>0</v>
      </c>
      <c r="G153" s="553">
        <f t="shared" ref="G153:K153" si="199">G154+G155</f>
        <v>0</v>
      </c>
      <c r="H153" s="553">
        <f t="shared" si="199"/>
        <v>0</v>
      </c>
      <c r="I153" s="553">
        <f t="shared" si="199"/>
        <v>0</v>
      </c>
      <c r="J153" s="553">
        <f t="shared" si="199"/>
        <v>0</v>
      </c>
      <c r="K153" s="553">
        <f t="shared" si="199"/>
        <v>0</v>
      </c>
      <c r="L153" s="553">
        <f>L154+L155</f>
        <v>0</v>
      </c>
      <c r="M153" s="553">
        <f>M154+M155</f>
        <v>0</v>
      </c>
      <c r="N153" s="553">
        <f>N154+N155</f>
        <v>0</v>
      </c>
      <c r="O153" s="553">
        <f>O154+O155</f>
        <v>0</v>
      </c>
    </row>
    <row r="154" spans="1:15">
      <c r="A154" s="480"/>
      <c r="B154" s="480"/>
      <c r="C154" s="484" t="s">
        <v>62</v>
      </c>
      <c r="D154" s="480" t="s">
        <v>182</v>
      </c>
      <c r="E154" s="480" t="s">
        <v>177</v>
      </c>
      <c r="F154" s="552"/>
      <c r="G154" s="552"/>
      <c r="H154" s="552"/>
      <c r="I154" s="552"/>
      <c r="J154" s="552"/>
      <c r="K154" s="552"/>
      <c r="L154" s="552"/>
      <c r="M154" s="552"/>
      <c r="N154" s="552"/>
      <c r="O154" s="552"/>
    </row>
    <row r="155" spans="1:15">
      <c r="A155" s="480"/>
      <c r="B155" s="480"/>
      <c r="C155" s="484" t="s">
        <v>62</v>
      </c>
      <c r="D155" s="480" t="s">
        <v>183</v>
      </c>
      <c r="E155" s="480" t="s">
        <v>179</v>
      </c>
      <c r="F155" s="552"/>
      <c r="G155" s="552">
        <f t="shared" ref="G155:K155" si="200">F155</f>
        <v>0</v>
      </c>
      <c r="H155" s="552">
        <f t="shared" si="200"/>
        <v>0</v>
      </c>
      <c r="I155" s="552">
        <f t="shared" si="200"/>
        <v>0</v>
      </c>
      <c r="J155" s="552">
        <f t="shared" si="200"/>
        <v>0</v>
      </c>
      <c r="K155" s="552">
        <f t="shared" si="200"/>
        <v>0</v>
      </c>
      <c r="L155" s="552">
        <f>K155</f>
        <v>0</v>
      </c>
      <c r="M155" s="552">
        <f>L155</f>
        <v>0</v>
      </c>
      <c r="N155" s="552">
        <f>M155</f>
        <v>0</v>
      </c>
      <c r="O155" s="552">
        <f>N155</f>
        <v>0</v>
      </c>
    </row>
    <row r="156" spans="1:15" ht="15" thickBot="1">
      <c r="A156" s="480"/>
      <c r="B156" s="480"/>
      <c r="C156" s="508" t="s">
        <v>224</v>
      </c>
      <c r="D156" s="508"/>
      <c r="E156" s="508" t="s">
        <v>225</v>
      </c>
      <c r="F156" s="556">
        <f>SUM(F97,F109)</f>
        <v>3880941675.3979988</v>
      </c>
      <c r="G156" s="556">
        <f t="shared" ref="G156:J156" si="201">SUM(G97,G109)</f>
        <v>3355159254.4893231</v>
      </c>
      <c r="H156" s="556">
        <f t="shared" si="201"/>
        <v>2932864490.2077022</v>
      </c>
      <c r="I156" s="556">
        <f t="shared" si="201"/>
        <v>2700655856.3611202</v>
      </c>
      <c r="J156" s="556">
        <f t="shared" si="201"/>
        <v>2555076242.2078948</v>
      </c>
      <c r="K156" s="556">
        <f t="shared" ref="K156" si="202">SUM(K97,K109)</f>
        <v>2409515422.9873219</v>
      </c>
      <c r="L156" s="556">
        <f>SUM(L97,L109)</f>
        <v>2257311199.0717406</v>
      </c>
      <c r="M156" s="556">
        <f>SUM(M97,M109)</f>
        <v>2154808335.2534237</v>
      </c>
      <c r="N156" s="556">
        <f>SUM(N97,N109)</f>
        <v>2104463426.0654273</v>
      </c>
      <c r="O156" s="556">
        <f>SUM(O97,O109)</f>
        <v>2098345273.4224763</v>
      </c>
    </row>
    <row r="157" spans="1:15" ht="15" thickTop="1">
      <c r="A157" s="480"/>
      <c r="B157" s="480"/>
      <c r="C157" s="549"/>
      <c r="D157" s="549"/>
      <c r="E157" s="549"/>
      <c r="F157" s="559">
        <f>F156-F94</f>
        <v>0</v>
      </c>
      <c r="G157" s="559">
        <f t="shared" ref="G157:K157" si="203">G156-G94</f>
        <v>0</v>
      </c>
      <c r="H157" s="559">
        <f t="shared" si="203"/>
        <v>0</v>
      </c>
      <c r="I157" s="559">
        <f t="shared" si="203"/>
        <v>0</v>
      </c>
      <c r="J157" s="559">
        <f t="shared" si="203"/>
        <v>0</v>
      </c>
      <c r="K157" s="559">
        <f t="shared" si="203"/>
        <v>0</v>
      </c>
      <c r="L157" s="559">
        <f>L156-L94</f>
        <v>0</v>
      </c>
      <c r="M157" s="559">
        <f>M156-M94</f>
        <v>0</v>
      </c>
      <c r="N157" s="559">
        <f>N156-N94</f>
        <v>0</v>
      </c>
      <c r="O157" s="559">
        <f>O156-O94</f>
        <v>0</v>
      </c>
    </row>
    <row r="158" spans="1:15">
      <c r="C158" s="6"/>
      <c r="D158" s="6"/>
      <c r="E158" s="6"/>
      <c r="F158" s="7"/>
      <c r="G158" s="7"/>
      <c r="H158" s="7"/>
      <c r="I158" s="7"/>
      <c r="J158" s="7"/>
      <c r="K158" s="7"/>
      <c r="L158" s="7"/>
      <c r="M158" s="7"/>
      <c r="N158" s="7"/>
      <c r="O158" s="7"/>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3">
    <tabColor theme="3"/>
  </sheetPr>
  <dimension ref="A1:S125"/>
  <sheetViews>
    <sheetView showGridLines="0" zoomScale="115" zoomScaleNormal="115" workbookViewId="0">
      <selection activeCell="F6" sqref="F6:O6"/>
    </sheetView>
  </sheetViews>
  <sheetFormatPr defaultColWidth="9" defaultRowHeight="14.25"/>
  <cols>
    <col min="1" max="2" width="2.375" style="4" customWidth="1"/>
    <col min="3" max="3" width="7.25" style="2" customWidth="1"/>
    <col min="4" max="4" width="50.625" style="2" hidden="1" customWidth="1"/>
    <col min="5" max="5" width="47" style="2" customWidth="1"/>
    <col min="6" max="6" width="14.375" style="3" bestFit="1" customWidth="1"/>
    <col min="7" max="7" width="13.5" style="3" bestFit="1" customWidth="1"/>
    <col min="8" max="15" width="14.375" style="3" bestFit="1" customWidth="1"/>
    <col min="16" max="16" width="12.625" style="4" bestFit="1" customWidth="1"/>
    <col min="17" max="17" width="11.625" style="4" bestFit="1" customWidth="1"/>
    <col min="18" max="16384" width="9" style="4"/>
  </cols>
  <sheetData>
    <row r="1" spans="1:18" ht="8.25" customHeight="1">
      <c r="A1" s="480"/>
      <c r="B1" s="480"/>
      <c r="C1" s="480"/>
      <c r="D1" s="480"/>
      <c r="E1" s="480"/>
      <c r="F1" s="481"/>
      <c r="G1" s="481"/>
      <c r="H1" s="481"/>
      <c r="I1" s="481"/>
      <c r="J1" s="481"/>
      <c r="K1" s="481"/>
      <c r="L1" s="481"/>
      <c r="M1" s="481"/>
      <c r="N1" s="481"/>
      <c r="O1" s="481"/>
    </row>
    <row r="2" spans="1:18" ht="8.25" customHeight="1">
      <c r="A2" s="480"/>
      <c r="B2" s="480"/>
      <c r="C2" s="480"/>
      <c r="D2" s="480"/>
      <c r="E2" s="480"/>
      <c r="F2" s="481"/>
      <c r="G2" s="481"/>
      <c r="H2" s="481"/>
      <c r="I2" s="481"/>
      <c r="J2" s="481"/>
      <c r="K2" s="481"/>
      <c r="L2" s="481"/>
      <c r="M2" s="481"/>
      <c r="N2" s="481"/>
      <c r="O2" s="481"/>
    </row>
    <row r="3" spans="1:18">
      <c r="A3" s="480"/>
      <c r="B3" s="480"/>
      <c r="C3" s="480"/>
      <c r="D3" s="480"/>
      <c r="E3" s="480"/>
      <c r="F3" s="481"/>
      <c r="G3" s="487"/>
      <c r="H3" s="481"/>
      <c r="I3" s="481"/>
      <c r="J3" s="481"/>
      <c r="K3" s="481"/>
      <c r="L3" s="481"/>
      <c r="M3" s="481"/>
      <c r="N3" s="481"/>
      <c r="O3" s="481"/>
    </row>
    <row r="4" spans="1:18">
      <c r="A4" s="488"/>
      <c r="B4" s="488"/>
      <c r="C4" s="489" t="s">
        <v>226</v>
      </c>
      <c r="D4" s="488"/>
      <c r="E4" s="489" t="s">
        <v>227</v>
      </c>
      <c r="F4" s="492" t="s">
        <v>1384</v>
      </c>
      <c r="G4" s="491"/>
      <c r="H4" s="490"/>
      <c r="I4" s="490"/>
      <c r="J4" s="490"/>
      <c r="K4" s="490"/>
      <c r="L4" s="490"/>
      <c r="M4" s="490"/>
      <c r="N4" s="490"/>
      <c r="O4" s="490"/>
    </row>
    <row r="5" spans="1:18">
      <c r="A5" s="480"/>
      <c r="B5" s="480"/>
      <c r="C5" s="480"/>
      <c r="D5" s="480"/>
      <c r="E5" s="480"/>
      <c r="F5" s="493" t="s">
        <v>1385</v>
      </c>
      <c r="G5" s="481"/>
      <c r="H5" s="481"/>
      <c r="I5" s="481"/>
      <c r="J5" s="481"/>
      <c r="K5" s="481"/>
      <c r="L5" s="481"/>
      <c r="M5" s="481"/>
      <c r="N5" s="481"/>
      <c r="O5" s="481"/>
    </row>
    <row r="6" spans="1:18" s="5" customFormat="1" ht="15">
      <c r="A6" s="480"/>
      <c r="B6" s="480"/>
      <c r="C6" s="495" t="s">
        <v>228</v>
      </c>
      <c r="D6" s="495"/>
      <c r="E6" s="495" t="s">
        <v>227</v>
      </c>
      <c r="F6" s="574">
        <v>2026</v>
      </c>
      <c r="G6" s="574">
        <f t="shared" ref="G6:K6" si="0">F6+1</f>
        <v>2027</v>
      </c>
      <c r="H6" s="574">
        <f t="shared" si="0"/>
        <v>2028</v>
      </c>
      <c r="I6" s="574">
        <f t="shared" si="0"/>
        <v>2029</v>
      </c>
      <c r="J6" s="574">
        <f t="shared" si="0"/>
        <v>2030</v>
      </c>
      <c r="K6" s="574">
        <f t="shared" si="0"/>
        <v>2031</v>
      </c>
      <c r="L6" s="574">
        <f>K6+1</f>
        <v>2032</v>
      </c>
      <c r="M6" s="574">
        <f>L6+1</f>
        <v>2033</v>
      </c>
      <c r="N6" s="574">
        <f>M6+1</f>
        <v>2034</v>
      </c>
      <c r="O6" s="574">
        <f>N6+1</f>
        <v>2035</v>
      </c>
      <c r="P6" s="4"/>
      <c r="Q6" s="4"/>
    </row>
    <row r="7" spans="1:18">
      <c r="A7" s="480"/>
      <c r="B7" s="480"/>
      <c r="C7" s="568" t="s">
        <v>229</v>
      </c>
      <c r="D7" s="568" t="s">
        <v>230</v>
      </c>
      <c r="E7" s="568" t="s">
        <v>231</v>
      </c>
      <c r="F7" s="569">
        <f t="shared" ref="F7:K7" si="1">SUM(F11:F14)</f>
        <v>0</v>
      </c>
      <c r="G7" s="569">
        <f t="shared" si="1"/>
        <v>678150144</v>
      </c>
      <c r="H7" s="569">
        <f t="shared" si="1"/>
        <v>775028736</v>
      </c>
      <c r="I7" s="569">
        <f t="shared" si="1"/>
        <v>871907328</v>
      </c>
      <c r="J7" s="569">
        <f t="shared" si="1"/>
        <v>871907328</v>
      </c>
      <c r="K7" s="569">
        <f t="shared" si="1"/>
        <v>871907328</v>
      </c>
      <c r="L7" s="569">
        <f>SUM(L11:L14)</f>
        <v>871907328</v>
      </c>
      <c r="M7" s="569">
        <f>SUM(M11:M14)</f>
        <v>871907328</v>
      </c>
      <c r="N7" s="569">
        <f>SUM(N11:N14)</f>
        <v>871907328</v>
      </c>
      <c r="O7" s="569">
        <f>SUM(O11:O14)</f>
        <v>871907328</v>
      </c>
    </row>
    <row r="8" spans="1:18">
      <c r="A8" s="480"/>
      <c r="B8" s="480"/>
      <c r="C8" s="482" t="s">
        <v>62</v>
      </c>
      <c r="D8" s="480" t="s">
        <v>232</v>
      </c>
      <c r="E8" s="480" t="s">
        <v>233</v>
      </c>
      <c r="F8" s="552">
        <v>0</v>
      </c>
      <c r="G8" s="552">
        <v>0</v>
      </c>
      <c r="H8" s="552">
        <v>0</v>
      </c>
      <c r="I8" s="552">
        <f t="shared" ref="I8:K8" si="2">H8</f>
        <v>0</v>
      </c>
      <c r="J8" s="552">
        <f t="shared" si="2"/>
        <v>0</v>
      </c>
      <c r="K8" s="552">
        <f t="shared" si="2"/>
        <v>0</v>
      </c>
      <c r="L8" s="552">
        <f>K8</f>
        <v>0</v>
      </c>
      <c r="M8" s="552">
        <f>L8</f>
        <v>0</v>
      </c>
      <c r="N8" s="552">
        <f>M8</f>
        <v>0</v>
      </c>
      <c r="O8" s="552">
        <f>N8</f>
        <v>0</v>
      </c>
    </row>
    <row r="9" spans="1:18">
      <c r="A9" s="480"/>
      <c r="B9" s="480"/>
      <c r="C9" s="561"/>
      <c r="D9" s="549" t="s">
        <v>1525</v>
      </c>
      <c r="E9" s="549" t="s">
        <v>1526</v>
      </c>
      <c r="F9" s="565">
        <f>Incomes!F9</f>
        <v>0</v>
      </c>
      <c r="G9" s="565">
        <f>Incomes!J9</f>
        <v>968785920</v>
      </c>
      <c r="H9" s="565">
        <f>Incomes!N9</f>
        <v>968785920</v>
      </c>
      <c r="I9" s="565">
        <f>Incomes!R9</f>
        <v>968785920</v>
      </c>
      <c r="J9" s="565">
        <f>Incomes!V9</f>
        <v>968785920</v>
      </c>
      <c r="K9" s="565">
        <f>Incomes!Z9</f>
        <v>968785920</v>
      </c>
      <c r="L9" s="565">
        <f>Incomes!AD9</f>
        <v>968785920</v>
      </c>
      <c r="M9" s="565">
        <f>Incomes!AH9</f>
        <v>968785920</v>
      </c>
      <c r="N9" s="565">
        <f>Incomes!AL9</f>
        <v>968785920</v>
      </c>
      <c r="O9" s="565">
        <f>Incomes!AP9</f>
        <v>968785920</v>
      </c>
    </row>
    <row r="10" spans="1:18">
      <c r="A10" s="480"/>
      <c r="B10" s="480"/>
      <c r="C10" s="561"/>
      <c r="D10" s="549" t="s">
        <v>1529</v>
      </c>
      <c r="E10" s="549" t="s">
        <v>1530</v>
      </c>
      <c r="F10" s="562">
        <f>Assumptions!B24</f>
        <v>0.7</v>
      </c>
      <c r="G10" s="562">
        <f>Assumptions!B24</f>
        <v>0.7</v>
      </c>
      <c r="H10" s="562">
        <f>Assumptions!B25</f>
        <v>0.8</v>
      </c>
      <c r="I10" s="562">
        <f>Assumptions!B26</f>
        <v>0.9</v>
      </c>
      <c r="J10" s="562">
        <f>Assumptions!B26</f>
        <v>0.9</v>
      </c>
      <c r="K10" s="562">
        <f>Assumptions!B26</f>
        <v>0.9</v>
      </c>
      <c r="L10" s="562">
        <f>Assumptions!B26</f>
        <v>0.9</v>
      </c>
      <c r="M10" s="562">
        <f>Assumptions!B26</f>
        <v>0.9</v>
      </c>
      <c r="N10" s="562">
        <f>Assumptions!B26</f>
        <v>0.9</v>
      </c>
      <c r="O10" s="562">
        <f>Assumptions!B26</f>
        <v>0.9</v>
      </c>
    </row>
    <row r="11" spans="1:18">
      <c r="A11" s="480"/>
      <c r="B11" s="480"/>
      <c r="C11" s="503" t="s">
        <v>6</v>
      </c>
      <c r="D11" s="504" t="s">
        <v>1527</v>
      </c>
      <c r="E11" s="504" t="s">
        <v>1528</v>
      </c>
      <c r="F11" s="551">
        <f>F9*F10</f>
        <v>0</v>
      </c>
      <c r="G11" s="551">
        <f t="shared" ref="G11:K11" si="3">G9*G10</f>
        <v>678150144</v>
      </c>
      <c r="H11" s="551">
        <f t="shared" si="3"/>
        <v>775028736</v>
      </c>
      <c r="I11" s="551">
        <f t="shared" si="3"/>
        <v>871907328</v>
      </c>
      <c r="J11" s="551">
        <f t="shared" si="3"/>
        <v>871907328</v>
      </c>
      <c r="K11" s="551">
        <f t="shared" si="3"/>
        <v>871907328</v>
      </c>
      <c r="L11" s="551">
        <f>L9*L10</f>
        <v>871907328</v>
      </c>
      <c r="M11" s="551">
        <f>M9*M10</f>
        <v>871907328</v>
      </c>
      <c r="N11" s="551">
        <f>N9*N10</f>
        <v>871907328</v>
      </c>
      <c r="O11" s="551">
        <f>O9*O10</f>
        <v>871907328</v>
      </c>
    </row>
    <row r="12" spans="1:18">
      <c r="A12" s="480"/>
      <c r="B12" s="480"/>
      <c r="C12" s="483" t="s">
        <v>21</v>
      </c>
      <c r="D12" s="480" t="s">
        <v>234</v>
      </c>
      <c r="E12" s="480" t="s">
        <v>235</v>
      </c>
      <c r="F12" s="552"/>
      <c r="G12" s="552"/>
      <c r="H12" s="552"/>
      <c r="I12" s="552"/>
      <c r="J12" s="552"/>
      <c r="K12" s="552"/>
      <c r="L12" s="552"/>
      <c r="M12" s="552"/>
      <c r="N12" s="552"/>
      <c r="O12" s="552"/>
    </row>
    <row r="13" spans="1:18">
      <c r="A13" s="480"/>
      <c r="B13" s="480"/>
      <c r="C13" s="483" t="s">
        <v>44</v>
      </c>
      <c r="D13" s="480" t="s">
        <v>236</v>
      </c>
      <c r="E13" s="480" t="s">
        <v>237</v>
      </c>
      <c r="F13" s="552">
        <v>0</v>
      </c>
      <c r="G13" s="552">
        <f t="shared" ref="G13:K14" si="4">F13</f>
        <v>0</v>
      </c>
      <c r="H13" s="552">
        <f t="shared" si="4"/>
        <v>0</v>
      </c>
      <c r="I13" s="552">
        <f t="shared" si="4"/>
        <v>0</v>
      </c>
      <c r="J13" s="552">
        <f t="shared" si="4"/>
        <v>0</v>
      </c>
      <c r="K13" s="552">
        <f t="shared" si="4"/>
        <v>0</v>
      </c>
      <c r="L13" s="552">
        <f>K13</f>
        <v>0</v>
      </c>
      <c r="M13" s="552">
        <f>L13</f>
        <v>0</v>
      </c>
      <c r="N13" s="552">
        <f>M13</f>
        <v>0</v>
      </c>
      <c r="O13" s="552">
        <f>N13</f>
        <v>0</v>
      </c>
    </row>
    <row r="14" spans="1:18">
      <c r="A14" s="480"/>
      <c r="B14" s="480"/>
      <c r="C14" s="502" t="s">
        <v>53</v>
      </c>
      <c r="D14" s="494" t="s">
        <v>238</v>
      </c>
      <c r="E14" s="494" t="s">
        <v>239</v>
      </c>
      <c r="F14" s="560">
        <v>0</v>
      </c>
      <c r="G14" s="560">
        <f t="shared" si="4"/>
        <v>0</v>
      </c>
      <c r="H14" s="560">
        <f t="shared" si="4"/>
        <v>0</v>
      </c>
      <c r="I14" s="560">
        <f t="shared" si="4"/>
        <v>0</v>
      </c>
      <c r="J14" s="560">
        <f t="shared" si="4"/>
        <v>0</v>
      </c>
      <c r="K14" s="560">
        <f t="shared" si="4"/>
        <v>0</v>
      </c>
      <c r="L14" s="560">
        <f>K14</f>
        <v>0</v>
      </c>
      <c r="M14" s="560">
        <f>L14</f>
        <v>0</v>
      </c>
      <c r="N14" s="560">
        <f>M14</f>
        <v>0</v>
      </c>
      <c r="O14" s="560">
        <f>N14</f>
        <v>0</v>
      </c>
    </row>
    <row r="15" spans="1:18">
      <c r="A15" s="480"/>
      <c r="B15" s="480"/>
      <c r="C15" s="498" t="s">
        <v>240</v>
      </c>
      <c r="D15" s="498" t="s">
        <v>241</v>
      </c>
      <c r="E15" s="498" t="s">
        <v>242</v>
      </c>
      <c r="F15" s="550">
        <f>SUM(F16,F17,F18,F19,F20,F22,F23,F25,F26)</f>
        <v>3604000</v>
      </c>
      <c r="G15" s="550">
        <f t="shared" ref="G15:K15" si="5">SUM(G16,G17,G18,G19,G20,G22,G23,G25,G26)</f>
        <v>769472740</v>
      </c>
      <c r="H15" s="550">
        <f t="shared" si="5"/>
        <v>676976782.29999995</v>
      </c>
      <c r="I15" s="550">
        <f t="shared" si="5"/>
        <v>607030895.8915</v>
      </c>
      <c r="J15" s="550">
        <f t="shared" si="5"/>
        <v>541417617.62197757</v>
      </c>
      <c r="K15" s="550">
        <f t="shared" si="5"/>
        <v>529822878.69053525</v>
      </c>
      <c r="L15" s="550">
        <f>SUM(L16,L17,L18,L19,L20,L22,L23,L25,L26)</f>
        <v>561316069.46125126</v>
      </c>
      <c r="M15" s="550">
        <f>SUM(M16,M17,M18,M19,M20,M22,M23,M25,M26)</f>
        <v>507444017.56733894</v>
      </c>
      <c r="N15" s="550">
        <f>SUM(N16,N17,N18,N19,N20,N22,N23,N25,N26)</f>
        <v>465320564.76272154</v>
      </c>
      <c r="O15" s="550">
        <f>SUM(O16,O17,O18,O19,O20,O22,O23,O25,O26)</f>
        <v>432637399.25867504</v>
      </c>
      <c r="P15" s="97"/>
      <c r="Q15" s="97"/>
      <c r="R15" s="97"/>
    </row>
    <row r="16" spans="1:18">
      <c r="A16" s="480"/>
      <c r="B16" s="480"/>
      <c r="C16" s="483" t="s">
        <v>6</v>
      </c>
      <c r="D16" s="480" t="s">
        <v>243</v>
      </c>
      <c r="E16" s="480" t="s">
        <v>624</v>
      </c>
      <c r="F16" s="554">
        <f>'D&amp;A CAPEX'!G38</f>
        <v>0</v>
      </c>
      <c r="G16" s="554">
        <f>'D&amp;A CAPEX'!H38</f>
        <v>641005000</v>
      </c>
      <c r="H16" s="554">
        <f>'D&amp;A CAPEX'!I38</f>
        <v>531793000</v>
      </c>
      <c r="I16" s="554">
        <f>'D&amp;A CAPEX'!J38</f>
        <v>444226525</v>
      </c>
      <c r="J16" s="554">
        <f>'D&amp;A CAPEX'!K38</f>
        <v>373985931.25</v>
      </c>
      <c r="K16" s="554">
        <f>'D&amp;A CAPEX'!L38</f>
        <v>357615136.4375</v>
      </c>
      <c r="L16" s="554">
        <f>'D&amp;A CAPEX'!M38</f>
        <v>384348894.94062501</v>
      </c>
      <c r="M16" s="554">
        <f>'D&amp;A CAPEX'!N38</f>
        <v>325574627.81109381</v>
      </c>
      <c r="N16" s="554">
        <f>'D&amp;A CAPEX'!O38</f>
        <v>278401893.31378907</v>
      </c>
      <c r="O16" s="554">
        <f>'D&amp;A CAPEX'!P38</f>
        <v>240517967.66627458</v>
      </c>
    </row>
    <row r="17" spans="1:15">
      <c r="A17" s="480"/>
      <c r="B17" s="480"/>
      <c r="C17" s="483" t="s">
        <v>21</v>
      </c>
      <c r="D17" s="480" t="s">
        <v>244</v>
      </c>
      <c r="E17" s="480" t="s">
        <v>1538</v>
      </c>
      <c r="F17" s="554">
        <f>Analysis!C69</f>
        <v>0</v>
      </c>
      <c r="G17" s="554">
        <f>Analysis!D69</f>
        <v>89281919.999999985</v>
      </c>
      <c r="H17" s="554">
        <f>Analysis!E69</f>
        <v>105097574.40000001</v>
      </c>
      <c r="I17" s="554">
        <f>Analysis!F69</f>
        <v>121781814.336</v>
      </c>
      <c r="J17" s="554">
        <f>Analysis!G69</f>
        <v>125435268.76607999</v>
      </c>
      <c r="K17" s="554">
        <f>Analysis!H69</f>
        <v>129198326.82906237</v>
      </c>
      <c r="L17" s="554">
        <f>Analysis!I69</f>
        <v>133074276.63393426</v>
      </c>
      <c r="M17" s="554">
        <f>Analysis!J69</f>
        <v>137066504.93295226</v>
      </c>
      <c r="N17" s="554">
        <f>Analysis!K69</f>
        <v>141178500.08094084</v>
      </c>
      <c r="O17" s="554">
        <f>Analysis!L69</f>
        <v>145413855.08336908</v>
      </c>
    </row>
    <row r="18" spans="1:15">
      <c r="A18" s="480"/>
      <c r="B18" s="480"/>
      <c r="C18" s="483" t="s">
        <v>21</v>
      </c>
      <c r="D18" s="480" t="s">
        <v>244</v>
      </c>
      <c r="E18" s="480" t="s">
        <v>89</v>
      </c>
      <c r="F18" s="552">
        <f>SUM(Costs!C5:F5)</f>
        <v>2496000</v>
      </c>
      <c r="G18" s="552">
        <f>SUM(Costs!G5:J5)</f>
        <v>14020800</v>
      </c>
      <c r="H18" s="552">
        <f>SUM(Costs!K5:N5)</f>
        <v>14441424</v>
      </c>
      <c r="I18" s="552">
        <f>SUM(Costs!O5:R5)</f>
        <v>14874666.720000001</v>
      </c>
      <c r="J18" s="552">
        <f>SUM(Costs!S5:V5)</f>
        <v>15320906.721600002</v>
      </c>
      <c r="K18" s="552">
        <f>SUM(Costs!W5:Z5)</f>
        <v>15780533.923248002</v>
      </c>
      <c r="L18" s="552">
        <f>SUM(Costs!AA5:AD5)</f>
        <v>16253949.940945443</v>
      </c>
      <c r="M18" s="552">
        <f>SUM(Costs!AE5:AH5)</f>
        <v>16741568.439173806</v>
      </c>
      <c r="N18" s="552">
        <f>SUM(Costs!AI5:AL5)</f>
        <v>17243815.492349021</v>
      </c>
      <c r="O18" s="552">
        <f>SUM(Costs!AM5:AP5)</f>
        <v>17761129.957119491</v>
      </c>
    </row>
    <row r="19" spans="1:15">
      <c r="A19" s="480"/>
      <c r="B19" s="480"/>
      <c r="C19" s="483" t="s">
        <v>44</v>
      </c>
      <c r="D19" s="480" t="s">
        <v>245</v>
      </c>
      <c r="E19" s="480" t="s">
        <v>246</v>
      </c>
      <c r="F19" s="552">
        <f>SUM(Costs!C6:F6)</f>
        <v>648000</v>
      </c>
      <c r="G19" s="552">
        <f>SUM(Costs!G6:J6)</f>
        <v>2501520</v>
      </c>
      <c r="H19" s="552">
        <f>SUM(Costs!K6:N6)</f>
        <v>2571626.4000000004</v>
      </c>
      <c r="I19" s="552">
        <f>SUM(Costs!O6:R6)</f>
        <v>2646640.2480000001</v>
      </c>
      <c r="J19" s="552">
        <f>SUM(Costs!S6:V6)</f>
        <v>2726905.0653600004</v>
      </c>
      <c r="K19" s="552">
        <f>SUM(Costs!W6:Z6)</f>
        <v>2812788.4199352004</v>
      </c>
      <c r="L19" s="552">
        <f>SUM(Costs!AA6:AD6)</f>
        <v>2897172.0725332564</v>
      </c>
      <c r="M19" s="552">
        <f>SUM(Costs!AE6:AH6)</f>
        <v>2984087.234709254</v>
      </c>
      <c r="N19" s="552">
        <f>SUM(Costs!AI6:AL6)</f>
        <v>3073609.8517505317</v>
      </c>
      <c r="O19" s="552">
        <f>SUM(Costs!AM6:AP6)</f>
        <v>3165818.1473030476</v>
      </c>
    </row>
    <row r="20" spans="1:15">
      <c r="A20" s="480"/>
      <c r="B20" s="480"/>
      <c r="C20" s="483" t="s">
        <v>53</v>
      </c>
      <c r="D20" s="480" t="s">
        <v>247</v>
      </c>
      <c r="E20" s="480" t="s">
        <v>248</v>
      </c>
      <c r="F20" s="552">
        <f>SUM(Costs!C7:F7)</f>
        <v>60000</v>
      </c>
      <c r="G20" s="552">
        <f>SUM(Costs!G7:J7)</f>
        <v>60000</v>
      </c>
      <c r="H20" s="552">
        <f>SUM(Costs!K7:N7)</f>
        <v>60000</v>
      </c>
      <c r="I20" s="552">
        <f>SUM(Costs!O7:R7)</f>
        <v>60000</v>
      </c>
      <c r="J20" s="552">
        <f>SUM(Costs!S7:V7)</f>
        <v>60000</v>
      </c>
      <c r="K20" s="552">
        <f>SUM(Costs!W7:Z7)</f>
        <v>60000</v>
      </c>
      <c r="L20" s="552">
        <f>SUM(Costs!AA7:AD7)</f>
        <v>60000</v>
      </c>
      <c r="M20" s="552">
        <f>SUM(Costs!AE7:AH7)</f>
        <v>60000</v>
      </c>
      <c r="N20" s="552">
        <f>SUM(Costs!AI7:AL7)</f>
        <v>60000</v>
      </c>
      <c r="O20" s="552">
        <f>SUM(Costs!AM7:AP7)</f>
        <v>60000</v>
      </c>
    </row>
    <row r="21" spans="1:15">
      <c r="A21" s="480"/>
      <c r="B21" s="480"/>
      <c r="C21" s="484" t="s">
        <v>62</v>
      </c>
      <c r="D21" s="480" t="s">
        <v>249</v>
      </c>
      <c r="E21" s="480" t="s">
        <v>250</v>
      </c>
      <c r="F21" s="552">
        <v>0</v>
      </c>
      <c r="G21" s="552"/>
      <c r="H21" s="552"/>
      <c r="I21" s="552"/>
      <c r="J21" s="552"/>
      <c r="K21" s="552"/>
      <c r="L21" s="552"/>
      <c r="M21" s="552"/>
      <c r="N21" s="552"/>
      <c r="O21" s="552"/>
    </row>
    <row r="22" spans="1:15">
      <c r="A22" s="480"/>
      <c r="B22" s="480"/>
      <c r="C22" s="483" t="s">
        <v>77</v>
      </c>
      <c r="D22" s="480" t="s">
        <v>251</v>
      </c>
      <c r="E22" s="480" t="s">
        <v>252</v>
      </c>
      <c r="F22" s="552">
        <f>SUM(Costs!C8:F8)</f>
        <v>0</v>
      </c>
      <c r="G22" s="552">
        <f>SUM(Costs!G8:J8)</f>
        <v>6502500</v>
      </c>
      <c r="H22" s="552">
        <f>SUM(Costs!K8:N8)</f>
        <v>6795112.5</v>
      </c>
      <c r="I22" s="552">
        <f>SUM(Costs!O8:R8)</f>
        <v>7100892.5624999991</v>
      </c>
      <c r="J22" s="552">
        <f>SUM(Costs!S8:V8)</f>
        <v>7420432.7278124988</v>
      </c>
      <c r="K22" s="552">
        <f>SUM(Costs!W8:Z8)</f>
        <v>7754352.2005640604</v>
      </c>
      <c r="L22" s="552">
        <f>SUM(Costs!AA8:AD8)</f>
        <v>7986982.7665809821</v>
      </c>
      <c r="M22" s="552">
        <f>SUM(Costs!AE8:AH8)</f>
        <v>8226592.2495784117</v>
      </c>
      <c r="N22" s="552">
        <f>SUM(Costs!AI8:AL8)</f>
        <v>8473390.0170657635</v>
      </c>
      <c r="O22" s="552">
        <f>SUM(Costs!AM8:AP8)</f>
        <v>8727591.7175777368</v>
      </c>
    </row>
    <row r="23" spans="1:15">
      <c r="A23" s="480"/>
      <c r="B23" s="480"/>
      <c r="C23" s="483" t="s">
        <v>163</v>
      </c>
      <c r="D23" s="480" t="s">
        <v>253</v>
      </c>
      <c r="E23" s="480" t="s">
        <v>254</v>
      </c>
      <c r="F23" s="552">
        <f>SUM(Costs!C9:F9)</f>
        <v>0</v>
      </c>
      <c r="G23" s="552">
        <f>SUM(Costs!G9:J9)</f>
        <v>2601000</v>
      </c>
      <c r="H23" s="552">
        <f>SUM(Costs!K9:N9)</f>
        <v>2718045</v>
      </c>
      <c r="I23" s="552">
        <f>SUM(Costs!O9:R9)</f>
        <v>2840357.0249999999</v>
      </c>
      <c r="J23" s="552">
        <f>SUM(Costs!S9:V9)</f>
        <v>2968173.0911249998</v>
      </c>
      <c r="K23" s="552">
        <f>SUM(Costs!W9:Z9)</f>
        <v>3101740.8802256244</v>
      </c>
      <c r="L23" s="552">
        <f>SUM(Costs!AA9:AD9)</f>
        <v>3194793.1066323933</v>
      </c>
      <c r="M23" s="552">
        <f>SUM(Costs!AE9:AH9)</f>
        <v>3290636.8998313653</v>
      </c>
      <c r="N23" s="552">
        <f>SUM(Costs!AI9:AL9)</f>
        <v>3389356.0068263062</v>
      </c>
      <c r="O23" s="552">
        <f>SUM(Costs!AM9:AP9)</f>
        <v>3491036.6870310954</v>
      </c>
    </row>
    <row r="24" spans="1:15">
      <c r="A24" s="480"/>
      <c r="B24" s="480"/>
      <c r="C24" s="484" t="s">
        <v>62</v>
      </c>
      <c r="D24" s="480" t="s">
        <v>255</v>
      </c>
      <c r="E24" s="480" t="s">
        <v>256</v>
      </c>
      <c r="F24" s="552">
        <v>0</v>
      </c>
      <c r="G24" s="552"/>
      <c r="H24" s="552"/>
      <c r="I24" s="552"/>
      <c r="J24" s="552"/>
      <c r="K24" s="552"/>
      <c r="L24" s="552"/>
      <c r="M24" s="552"/>
      <c r="N24" s="552"/>
      <c r="O24" s="552"/>
    </row>
    <row r="25" spans="1:15">
      <c r="A25" s="480"/>
      <c r="B25" s="480"/>
      <c r="C25" s="483" t="s">
        <v>166</v>
      </c>
      <c r="D25" s="480" t="s">
        <v>257</v>
      </c>
      <c r="E25" s="480" t="s">
        <v>258</v>
      </c>
      <c r="F25" s="552">
        <f>SUM(Costs!C10:F10)</f>
        <v>400000</v>
      </c>
      <c r="G25" s="552">
        <f>SUM(Costs!G10:J10)</f>
        <v>13500000</v>
      </c>
      <c r="H25" s="552">
        <f>SUM(Costs!K10:N10)</f>
        <v>13500000</v>
      </c>
      <c r="I25" s="552">
        <f>SUM(Costs!O10:R10)</f>
        <v>13500000</v>
      </c>
      <c r="J25" s="552">
        <f>SUM(Costs!S10:V10)</f>
        <v>13500000</v>
      </c>
      <c r="K25" s="552">
        <f>SUM(Costs!W10:Z10)</f>
        <v>13500000</v>
      </c>
      <c r="L25" s="552">
        <f>SUM(Costs!AA10:AD10)</f>
        <v>13500000</v>
      </c>
      <c r="M25" s="552">
        <f>SUM(Costs!AE10:AH10)</f>
        <v>13500000</v>
      </c>
      <c r="N25" s="552">
        <f>SUM(Costs!AI10:AL10)</f>
        <v>13500000</v>
      </c>
      <c r="O25" s="552">
        <f>SUM(Costs!AM10:AP10)</f>
        <v>13500000</v>
      </c>
    </row>
    <row r="26" spans="1:15">
      <c r="A26" s="480"/>
      <c r="B26" s="480"/>
      <c r="C26" s="483" t="s">
        <v>259</v>
      </c>
      <c r="D26" s="480" t="s">
        <v>260</v>
      </c>
      <c r="E26" s="480" t="s">
        <v>261</v>
      </c>
      <c r="F26" s="552">
        <f>SUM(Costs!C11:F11)</f>
        <v>0</v>
      </c>
      <c r="G26" s="552">
        <f>SUM(Costs!G11:J11)</f>
        <v>0</v>
      </c>
      <c r="H26" s="552">
        <f>SUM(Costs!K11:N11)</f>
        <v>0</v>
      </c>
      <c r="I26" s="552">
        <f>SUM(Costs!O11:R11)</f>
        <v>0</v>
      </c>
      <c r="J26" s="552">
        <f>SUM(Costs!S11:V11)</f>
        <v>0</v>
      </c>
      <c r="K26" s="552">
        <f>SUM(Costs!W11:Z11)</f>
        <v>0</v>
      </c>
      <c r="L26" s="552">
        <f>SUM(Costs!AA11:AD11)</f>
        <v>0</v>
      </c>
      <c r="M26" s="552">
        <f>SUM(Costs!AE11:AH11)</f>
        <v>0</v>
      </c>
      <c r="N26" s="552">
        <f>SUM(Costs!AI11:AL11)</f>
        <v>0</v>
      </c>
      <c r="O26" s="552">
        <f>SUM(Costs!AM11:AP11)</f>
        <v>0</v>
      </c>
    </row>
    <row r="27" spans="1:15">
      <c r="A27" s="480"/>
      <c r="B27" s="480"/>
      <c r="C27" s="570" t="s">
        <v>262</v>
      </c>
      <c r="D27" s="547" t="s">
        <v>263</v>
      </c>
      <c r="E27" s="547" t="s">
        <v>264</v>
      </c>
      <c r="F27" s="567">
        <f t="shared" ref="F27:K27" si="6">F7-F15</f>
        <v>-3604000</v>
      </c>
      <c r="G27" s="567">
        <f t="shared" si="6"/>
        <v>-91322596</v>
      </c>
      <c r="H27" s="567">
        <f t="shared" si="6"/>
        <v>98051953.700000048</v>
      </c>
      <c r="I27" s="567">
        <f t="shared" si="6"/>
        <v>264876432.1085</v>
      </c>
      <c r="J27" s="567">
        <f t="shared" si="6"/>
        <v>330489710.37802243</v>
      </c>
      <c r="K27" s="567">
        <f t="shared" si="6"/>
        <v>342084449.30946475</v>
      </c>
      <c r="L27" s="567">
        <f>L7-L15</f>
        <v>310591258.53874874</v>
      </c>
      <c r="M27" s="567">
        <f>M7-M15</f>
        <v>364463310.43266106</v>
      </c>
      <c r="N27" s="567">
        <f>N7-N15</f>
        <v>406586763.23727846</v>
      </c>
      <c r="O27" s="567">
        <f>O7-O15</f>
        <v>439269928.74132496</v>
      </c>
    </row>
    <row r="28" spans="1:15">
      <c r="A28" s="480"/>
      <c r="B28" s="480"/>
      <c r="C28" s="500" t="s">
        <v>265</v>
      </c>
      <c r="D28" s="494" t="s">
        <v>266</v>
      </c>
      <c r="E28" s="494" t="s">
        <v>267</v>
      </c>
      <c r="F28" s="560">
        <f t="shared" ref="F28" si="7">SUM(F29:F32)</f>
        <v>0</v>
      </c>
      <c r="G28" s="560">
        <f t="shared" ref="G28" si="8">SUM(G29:G32)</f>
        <v>0</v>
      </c>
      <c r="H28" s="560">
        <f t="shared" ref="H28" si="9">SUM(H29:H32)</f>
        <v>0</v>
      </c>
      <c r="I28" s="560">
        <f t="shared" ref="I28" si="10">SUM(I29:I32)</f>
        <v>0</v>
      </c>
      <c r="J28" s="560">
        <f t="shared" ref="J28:K28" si="11">SUM(J29:J32)</f>
        <v>0</v>
      </c>
      <c r="K28" s="560">
        <f t="shared" si="11"/>
        <v>0</v>
      </c>
      <c r="L28" s="560">
        <f>SUM(L29:L32)</f>
        <v>0</v>
      </c>
      <c r="M28" s="560">
        <f>SUM(M29:M32)</f>
        <v>0</v>
      </c>
      <c r="N28" s="560">
        <f>SUM(N29:N32)</f>
        <v>0</v>
      </c>
      <c r="O28" s="560">
        <f>SUM(O29:O32)</f>
        <v>0</v>
      </c>
    </row>
    <row r="29" spans="1:15">
      <c r="A29" s="480"/>
      <c r="B29" s="480"/>
      <c r="C29" s="483" t="s">
        <v>6</v>
      </c>
      <c r="D29" s="480" t="s">
        <v>268</v>
      </c>
      <c r="E29" s="480" t="s">
        <v>269</v>
      </c>
      <c r="F29" s="552"/>
      <c r="G29" s="552"/>
      <c r="H29" s="552"/>
      <c r="I29" s="552"/>
      <c r="J29" s="552"/>
      <c r="K29" s="552"/>
      <c r="L29" s="552"/>
      <c r="M29" s="552"/>
      <c r="N29" s="552"/>
      <c r="O29" s="552"/>
    </row>
    <row r="30" spans="1:15">
      <c r="A30" s="480"/>
      <c r="B30" s="480"/>
      <c r="C30" s="483" t="s">
        <v>21</v>
      </c>
      <c r="D30" s="480" t="s">
        <v>270</v>
      </c>
      <c r="E30" s="480" t="s">
        <v>271</v>
      </c>
      <c r="F30" s="552"/>
      <c r="G30" s="552"/>
      <c r="H30" s="552"/>
      <c r="I30" s="552"/>
      <c r="J30" s="552"/>
      <c r="K30" s="552"/>
      <c r="L30" s="552"/>
      <c r="M30" s="552"/>
      <c r="N30" s="552"/>
      <c r="O30" s="552"/>
    </row>
    <row r="31" spans="1:15">
      <c r="A31" s="480"/>
      <c r="B31" s="480"/>
      <c r="C31" s="483" t="s">
        <v>44</v>
      </c>
      <c r="D31" s="480" t="s">
        <v>272</v>
      </c>
      <c r="E31" s="480" t="s">
        <v>273</v>
      </c>
      <c r="F31" s="552"/>
      <c r="G31" s="552"/>
      <c r="H31" s="552"/>
      <c r="I31" s="552"/>
      <c r="J31" s="552"/>
      <c r="K31" s="552"/>
      <c r="L31" s="552"/>
      <c r="M31" s="552"/>
      <c r="N31" s="552"/>
      <c r="O31" s="552"/>
    </row>
    <row r="32" spans="1:15">
      <c r="A32" s="480"/>
      <c r="B32" s="480"/>
      <c r="C32" s="483" t="s">
        <v>53</v>
      </c>
      <c r="D32" s="480" t="s">
        <v>274</v>
      </c>
      <c r="E32" s="480" t="s">
        <v>267</v>
      </c>
      <c r="F32" s="552"/>
      <c r="G32" s="552"/>
      <c r="H32" s="552"/>
      <c r="I32" s="552"/>
      <c r="J32" s="552"/>
      <c r="K32" s="552"/>
      <c r="L32" s="552"/>
      <c r="M32" s="552"/>
      <c r="N32" s="552"/>
      <c r="O32" s="552"/>
    </row>
    <row r="33" spans="1:19">
      <c r="A33" s="480"/>
      <c r="B33" s="480"/>
      <c r="C33" s="500" t="s">
        <v>275</v>
      </c>
      <c r="D33" s="494" t="s">
        <v>276</v>
      </c>
      <c r="E33" s="494" t="s">
        <v>277</v>
      </c>
      <c r="F33" s="560">
        <f t="shared" ref="F33" si="12">SUM(F34:F36)</f>
        <v>0</v>
      </c>
      <c r="G33" s="560">
        <f t="shared" ref="G33" si="13">SUM(G34:G36)</f>
        <v>0</v>
      </c>
      <c r="H33" s="560">
        <f t="shared" ref="H33" si="14">SUM(H34:H36)</f>
        <v>0</v>
      </c>
      <c r="I33" s="560">
        <f t="shared" ref="I33" si="15">SUM(I34:I36)</f>
        <v>0</v>
      </c>
      <c r="J33" s="560">
        <f t="shared" ref="J33:K33" si="16">SUM(J34:J36)</f>
        <v>0</v>
      </c>
      <c r="K33" s="560">
        <f t="shared" si="16"/>
        <v>0</v>
      </c>
      <c r="L33" s="560">
        <f>SUM(L34:L36)</f>
        <v>0</v>
      </c>
      <c r="M33" s="560">
        <f>SUM(M34:M36)</f>
        <v>0</v>
      </c>
      <c r="N33" s="560">
        <f>SUM(N34:N36)</f>
        <v>0</v>
      </c>
      <c r="O33" s="560">
        <f>SUM(O34:O36)</f>
        <v>0</v>
      </c>
    </row>
    <row r="34" spans="1:19">
      <c r="A34" s="480"/>
      <c r="B34" s="480"/>
      <c r="C34" s="483" t="s">
        <v>6</v>
      </c>
      <c r="D34" s="480" t="s">
        <v>278</v>
      </c>
      <c r="E34" s="480" t="s">
        <v>279</v>
      </c>
      <c r="F34" s="552"/>
      <c r="G34" s="552"/>
      <c r="H34" s="552"/>
      <c r="I34" s="552"/>
      <c r="J34" s="552"/>
      <c r="K34" s="552"/>
      <c r="L34" s="552"/>
      <c r="M34" s="552"/>
      <c r="N34" s="552"/>
      <c r="O34" s="552"/>
    </row>
    <row r="35" spans="1:19">
      <c r="A35" s="480"/>
      <c r="B35" s="480"/>
      <c r="C35" s="483" t="s">
        <v>21</v>
      </c>
      <c r="D35" s="480" t="s">
        <v>272</v>
      </c>
      <c r="E35" s="480" t="s">
        <v>280</v>
      </c>
      <c r="F35" s="552"/>
      <c r="G35" s="552"/>
      <c r="H35" s="552"/>
      <c r="I35" s="552"/>
      <c r="J35" s="552"/>
      <c r="K35" s="552"/>
      <c r="L35" s="552"/>
      <c r="M35" s="552"/>
      <c r="N35" s="552"/>
      <c r="O35" s="552"/>
    </row>
    <row r="36" spans="1:19">
      <c r="A36" s="480"/>
      <c r="B36" s="480"/>
      <c r="C36" s="483" t="s">
        <v>44</v>
      </c>
      <c r="D36" s="480" t="s">
        <v>281</v>
      </c>
      <c r="E36" s="480" t="s">
        <v>277</v>
      </c>
      <c r="F36" s="552"/>
      <c r="G36" s="552"/>
      <c r="H36" s="552"/>
      <c r="I36" s="552"/>
      <c r="J36" s="552"/>
      <c r="K36" s="552"/>
      <c r="L36" s="552"/>
      <c r="M36" s="552"/>
      <c r="N36" s="552"/>
      <c r="O36" s="552"/>
      <c r="P36" s="55"/>
      <c r="Q36" s="55"/>
    </row>
    <row r="37" spans="1:19">
      <c r="A37" s="480"/>
      <c r="B37" s="480"/>
      <c r="C37" s="571" t="s">
        <v>282</v>
      </c>
      <c r="D37" s="547" t="s">
        <v>283</v>
      </c>
      <c r="E37" s="547" t="s">
        <v>284</v>
      </c>
      <c r="F37" s="567">
        <f t="shared" ref="F37:J37" si="17">F27+F28-F33</f>
        <v>-3604000</v>
      </c>
      <c r="G37" s="567">
        <f t="shared" si="17"/>
        <v>-91322596</v>
      </c>
      <c r="H37" s="567">
        <f t="shared" si="17"/>
        <v>98051953.700000048</v>
      </c>
      <c r="I37" s="567">
        <f t="shared" si="17"/>
        <v>264876432.1085</v>
      </c>
      <c r="J37" s="567">
        <f t="shared" si="17"/>
        <v>330489710.37802243</v>
      </c>
      <c r="K37" s="567">
        <f t="shared" ref="K37" si="18">K27+K28-K33</f>
        <v>342084449.30946475</v>
      </c>
      <c r="L37" s="567">
        <f>L27+L28-L33</f>
        <v>310591258.53874874</v>
      </c>
      <c r="M37" s="567">
        <f>M27+M28-M33</f>
        <v>364463310.43266106</v>
      </c>
      <c r="N37" s="567">
        <f>N27+N28-N33</f>
        <v>406586763.23727846</v>
      </c>
      <c r="O37" s="567">
        <f>O27+O28-O33</f>
        <v>439269928.74132496</v>
      </c>
    </row>
    <row r="38" spans="1:19">
      <c r="A38" s="480"/>
      <c r="B38" s="480"/>
      <c r="C38" s="572"/>
      <c r="D38" s="498" t="s">
        <v>285</v>
      </c>
      <c r="E38" s="498" t="s">
        <v>597</v>
      </c>
      <c r="F38" s="550">
        <f t="shared" ref="F38:K38" si="19">F37+F16</f>
        <v>-3604000</v>
      </c>
      <c r="G38" s="550">
        <f t="shared" si="19"/>
        <v>549682404</v>
      </c>
      <c r="H38" s="550">
        <f t="shared" si="19"/>
        <v>629844953.70000005</v>
      </c>
      <c r="I38" s="550">
        <f t="shared" si="19"/>
        <v>709102957.1085</v>
      </c>
      <c r="J38" s="550">
        <f t="shared" si="19"/>
        <v>704475641.62802243</v>
      </c>
      <c r="K38" s="550">
        <f t="shared" si="19"/>
        <v>699699585.74696469</v>
      </c>
      <c r="L38" s="550">
        <f>L37+L16</f>
        <v>694940153.47937369</v>
      </c>
      <c r="M38" s="550">
        <f>M37+M16</f>
        <v>690037938.24375486</v>
      </c>
      <c r="N38" s="550">
        <f>N37+N16</f>
        <v>684988656.55106759</v>
      </c>
      <c r="O38" s="550">
        <f>O37+O16</f>
        <v>679787896.40759957</v>
      </c>
      <c r="P38" s="10"/>
    </row>
    <row r="39" spans="1:19">
      <c r="A39" s="480"/>
      <c r="B39" s="480"/>
      <c r="C39" s="505"/>
      <c r="D39" s="505" t="s">
        <v>286</v>
      </c>
      <c r="E39" s="505"/>
      <c r="F39" s="563">
        <v>0</v>
      </c>
      <c r="G39" s="563">
        <f>G38/G7</f>
        <v>0.81056150892743895</v>
      </c>
      <c r="H39" s="563">
        <f>H38/H7</f>
        <v>0.81267303319705564</v>
      </c>
      <c r="I39" s="563">
        <f>I38/I7</f>
        <v>0.81327789586888299</v>
      </c>
      <c r="J39" s="563">
        <f>J38/J7</f>
        <v>0.80797077740356193</v>
      </c>
      <c r="K39" s="563">
        <f>K38/K7</f>
        <v>0.80249306695466227</v>
      </c>
      <c r="L39" s="563">
        <f>L38/L7</f>
        <v>0.79703442230889665</v>
      </c>
      <c r="M39" s="563">
        <f>M38/M7</f>
        <v>0.79141201832375796</v>
      </c>
      <c r="N39" s="563">
        <f>N38/N7</f>
        <v>0.78562094221906531</v>
      </c>
      <c r="O39" s="563">
        <f>O38/O7</f>
        <v>0.77965613383123167</v>
      </c>
      <c r="S39" s="97"/>
    </row>
    <row r="40" spans="1:19">
      <c r="A40" s="480"/>
      <c r="B40" s="480"/>
      <c r="C40" s="500" t="s">
        <v>287</v>
      </c>
      <c r="D40" s="494" t="s">
        <v>288</v>
      </c>
      <c r="E40" s="494" t="s">
        <v>289</v>
      </c>
      <c r="F40" s="560">
        <f t="shared" ref="F40" si="20">SUM(F41,F46,F48,F50,F51)</f>
        <v>0</v>
      </c>
      <c r="G40" s="560">
        <f t="shared" ref="G40" si="21">SUM(G41,G46,G48,G50,G51)</f>
        <v>0</v>
      </c>
      <c r="H40" s="560">
        <f t="shared" ref="H40" si="22">SUM(H41,H46,H48,H50,H51)</f>
        <v>0</v>
      </c>
      <c r="I40" s="560">
        <f t="shared" ref="I40" si="23">SUM(I41,I46,I48,I50,I51)</f>
        <v>0</v>
      </c>
      <c r="J40" s="560">
        <f t="shared" ref="J40:K40" si="24">SUM(J41,J46,J48,J50,J51)</f>
        <v>0</v>
      </c>
      <c r="K40" s="560">
        <f t="shared" si="24"/>
        <v>0</v>
      </c>
      <c r="L40" s="560">
        <f>SUM(L41,L46,L48,L50,L51)</f>
        <v>0</v>
      </c>
      <c r="M40" s="560">
        <f>SUM(M41,M46,M48,M50,M51)</f>
        <v>0</v>
      </c>
      <c r="N40" s="560">
        <f>SUM(N41,N46,N48,N50,N51)</f>
        <v>0</v>
      </c>
      <c r="O40" s="560">
        <f>SUM(O41,O46,O48,O50,O51)</f>
        <v>0</v>
      </c>
    </row>
    <row r="41" spans="1:19">
      <c r="A41" s="480"/>
      <c r="B41" s="480"/>
      <c r="C41" s="486" t="s">
        <v>6</v>
      </c>
      <c r="D41" s="480" t="s">
        <v>290</v>
      </c>
      <c r="E41" s="480" t="s">
        <v>291</v>
      </c>
      <c r="F41" s="552"/>
      <c r="G41" s="552"/>
      <c r="H41" s="552"/>
      <c r="I41" s="552"/>
      <c r="J41" s="552"/>
      <c r="K41" s="552"/>
      <c r="L41" s="552"/>
      <c r="M41" s="552"/>
      <c r="N41" s="552"/>
      <c r="O41" s="552"/>
    </row>
    <row r="42" spans="1:19">
      <c r="A42" s="480"/>
      <c r="B42" s="480"/>
      <c r="C42" s="484" t="s">
        <v>3</v>
      </c>
      <c r="D42" s="480" t="s">
        <v>292</v>
      </c>
      <c r="E42" s="480" t="s">
        <v>233</v>
      </c>
      <c r="F42" s="552"/>
      <c r="G42" s="552"/>
      <c r="H42" s="552"/>
      <c r="I42" s="552"/>
      <c r="J42" s="552"/>
      <c r="K42" s="552"/>
      <c r="L42" s="552"/>
      <c r="M42" s="552"/>
      <c r="N42" s="552"/>
      <c r="O42" s="552"/>
    </row>
    <row r="43" spans="1:19">
      <c r="A43" s="480"/>
      <c r="B43" s="480"/>
      <c r="C43" s="484" t="s">
        <v>62</v>
      </c>
      <c r="D43" s="480" t="s">
        <v>293</v>
      </c>
      <c r="E43" s="480" t="s">
        <v>294</v>
      </c>
      <c r="F43" s="552"/>
      <c r="G43" s="552"/>
      <c r="H43" s="552"/>
      <c r="I43" s="552"/>
      <c r="J43" s="552"/>
      <c r="K43" s="552"/>
      <c r="L43" s="552"/>
      <c r="M43" s="552"/>
      <c r="N43" s="552"/>
      <c r="O43" s="552"/>
      <c r="P43" s="10"/>
    </row>
    <row r="44" spans="1:19">
      <c r="A44" s="480"/>
      <c r="B44" s="480"/>
      <c r="C44" s="484" t="s">
        <v>28</v>
      </c>
      <c r="D44" s="480" t="s">
        <v>295</v>
      </c>
      <c r="E44" s="480" t="s">
        <v>296</v>
      </c>
      <c r="F44" s="552"/>
      <c r="G44" s="552"/>
      <c r="H44" s="552"/>
      <c r="I44" s="552"/>
      <c r="J44" s="552"/>
      <c r="K44" s="552"/>
      <c r="L44" s="552"/>
      <c r="M44" s="552"/>
      <c r="N44" s="552"/>
      <c r="O44" s="552"/>
      <c r="P44" s="10"/>
    </row>
    <row r="45" spans="1:19">
      <c r="A45" s="480"/>
      <c r="B45" s="480"/>
      <c r="C45" s="484" t="s">
        <v>62</v>
      </c>
      <c r="D45" s="480" t="s">
        <v>293</v>
      </c>
      <c r="E45" s="480" t="s">
        <v>294</v>
      </c>
      <c r="F45" s="552"/>
      <c r="G45" s="552"/>
      <c r="H45" s="552"/>
      <c r="I45" s="552"/>
      <c r="J45" s="552"/>
      <c r="K45" s="552"/>
      <c r="L45" s="552"/>
      <c r="M45" s="552"/>
      <c r="N45" s="552"/>
      <c r="O45" s="552"/>
    </row>
    <row r="46" spans="1:19">
      <c r="A46" s="480"/>
      <c r="B46" s="480"/>
      <c r="C46" s="486" t="s">
        <v>21</v>
      </c>
      <c r="D46" s="480" t="s">
        <v>297</v>
      </c>
      <c r="E46" s="480" t="s">
        <v>298</v>
      </c>
      <c r="F46" s="552"/>
      <c r="G46" s="552"/>
      <c r="H46" s="552"/>
      <c r="I46" s="552"/>
      <c r="J46" s="552"/>
      <c r="K46" s="552"/>
      <c r="L46" s="552"/>
      <c r="M46" s="552"/>
      <c r="N46" s="552"/>
      <c r="O46" s="552"/>
    </row>
    <row r="47" spans="1:19">
      <c r="A47" s="480"/>
      <c r="B47" s="480"/>
      <c r="C47" s="484" t="s">
        <v>62</v>
      </c>
      <c r="D47" s="480" t="s">
        <v>232</v>
      </c>
      <c r="E47" s="480" t="s">
        <v>233</v>
      </c>
      <c r="F47" s="552"/>
      <c r="G47" s="552"/>
      <c r="H47" s="552"/>
      <c r="I47" s="552"/>
      <c r="J47" s="552"/>
      <c r="K47" s="552"/>
      <c r="L47" s="552"/>
      <c r="M47" s="552"/>
      <c r="N47" s="552"/>
      <c r="O47" s="552"/>
    </row>
    <row r="48" spans="1:19">
      <c r="A48" s="480"/>
      <c r="B48" s="480"/>
      <c r="C48" s="486" t="s">
        <v>44</v>
      </c>
      <c r="D48" s="480" t="s">
        <v>299</v>
      </c>
      <c r="E48" s="480" t="s">
        <v>300</v>
      </c>
      <c r="F48" s="552"/>
      <c r="G48" s="552"/>
      <c r="H48" s="552"/>
      <c r="I48" s="552"/>
      <c r="J48" s="552"/>
      <c r="K48" s="552"/>
      <c r="L48" s="552"/>
      <c r="M48" s="552"/>
      <c r="N48" s="552"/>
      <c r="O48" s="552"/>
    </row>
    <row r="49" spans="1:17">
      <c r="A49" s="480"/>
      <c r="B49" s="480"/>
      <c r="C49" s="484" t="s">
        <v>62</v>
      </c>
      <c r="D49" s="480" t="s">
        <v>60</v>
      </c>
      <c r="E49" s="480" t="s">
        <v>61</v>
      </c>
      <c r="F49" s="552"/>
      <c r="G49" s="552"/>
      <c r="H49" s="552"/>
      <c r="I49" s="552"/>
      <c r="J49" s="552"/>
      <c r="K49" s="552"/>
      <c r="L49" s="552"/>
      <c r="M49" s="552"/>
      <c r="N49" s="552"/>
      <c r="O49" s="552"/>
    </row>
    <row r="50" spans="1:17">
      <c r="A50" s="480"/>
      <c r="B50" s="480"/>
      <c r="C50" s="483" t="s">
        <v>53</v>
      </c>
      <c r="D50" s="480" t="s">
        <v>301</v>
      </c>
      <c r="E50" s="480" t="s">
        <v>302</v>
      </c>
      <c r="F50" s="552"/>
      <c r="G50" s="552"/>
      <c r="H50" s="552"/>
      <c r="I50" s="552"/>
      <c r="J50" s="552"/>
      <c r="K50" s="552"/>
      <c r="L50" s="552"/>
      <c r="M50" s="552"/>
      <c r="N50" s="552"/>
      <c r="O50" s="552"/>
    </row>
    <row r="51" spans="1:17">
      <c r="A51" s="480"/>
      <c r="B51" s="480"/>
      <c r="C51" s="483" t="s">
        <v>77</v>
      </c>
      <c r="D51" s="480" t="s">
        <v>303</v>
      </c>
      <c r="E51" s="480" t="s">
        <v>304</v>
      </c>
      <c r="F51" s="552"/>
      <c r="G51" s="552"/>
      <c r="H51" s="552"/>
      <c r="I51" s="552"/>
      <c r="J51" s="552"/>
      <c r="K51" s="552"/>
      <c r="L51" s="552"/>
      <c r="M51" s="552"/>
      <c r="N51" s="552"/>
      <c r="O51" s="552"/>
    </row>
    <row r="52" spans="1:17">
      <c r="A52" s="480"/>
      <c r="B52" s="480"/>
      <c r="C52" s="500" t="s">
        <v>305</v>
      </c>
      <c r="D52" s="494" t="s">
        <v>306</v>
      </c>
      <c r="E52" s="494" t="s">
        <v>307</v>
      </c>
      <c r="F52" s="560">
        <f t="shared" ref="F52" si="25">SUM(F53,F55,F57,F58)</f>
        <v>0</v>
      </c>
      <c r="G52" s="560">
        <f t="shared" ref="G52" si="26">SUM(G53,G55,G57,G58)</f>
        <v>184320000</v>
      </c>
      <c r="H52" s="560">
        <f t="shared" ref="H52" si="27">SUM(H53,H55,H57,H58)</f>
        <v>163839999.99999997</v>
      </c>
      <c r="I52" s="560">
        <f t="shared" ref="I52" si="28">SUM(I53,I55,I57,I58)</f>
        <v>143359999.99999997</v>
      </c>
      <c r="J52" s="560">
        <f t="shared" ref="J52:K52" si="29">SUM(J53,J55,J57,J58)</f>
        <v>122879999.99999999</v>
      </c>
      <c r="K52" s="560">
        <f t="shared" si="29"/>
        <v>102399999.99999999</v>
      </c>
      <c r="L52" s="560">
        <f>SUM(L53,L55,L57,L58)</f>
        <v>81919999.999999985</v>
      </c>
      <c r="M52" s="560">
        <f>SUM(M53,M55,M57,M58)</f>
        <v>61440000</v>
      </c>
      <c r="N52" s="560">
        <f>SUM(N53,N55,N57,N58)</f>
        <v>40960000</v>
      </c>
      <c r="O52" s="560">
        <f>SUM(O53,O55,O57,O58)</f>
        <v>20480000.000000004</v>
      </c>
    </row>
    <row r="53" spans="1:17">
      <c r="A53" s="480"/>
      <c r="B53" s="480"/>
      <c r="C53" s="483" t="s">
        <v>6</v>
      </c>
      <c r="D53" s="480" t="s">
        <v>297</v>
      </c>
      <c r="E53" s="480" t="s">
        <v>298</v>
      </c>
      <c r="F53" s="554">
        <f>Financing!E26</f>
        <v>0</v>
      </c>
      <c r="G53" s="554">
        <f>Financing!I26</f>
        <v>184320000</v>
      </c>
      <c r="H53" s="554">
        <f>Financing!M26</f>
        <v>163839999.99999997</v>
      </c>
      <c r="I53" s="554">
        <f>Financing!Q26</f>
        <v>143359999.99999997</v>
      </c>
      <c r="J53" s="554">
        <f>Financing!U26</f>
        <v>122879999.99999999</v>
      </c>
      <c r="K53" s="554">
        <f>Financing!Y26</f>
        <v>102399999.99999999</v>
      </c>
      <c r="L53" s="554">
        <f>Financing!AC26</f>
        <v>81919999.999999985</v>
      </c>
      <c r="M53" s="554">
        <f>Financing!AG26</f>
        <v>61440000</v>
      </c>
      <c r="N53" s="554">
        <f>Financing!AK26</f>
        <v>40960000</v>
      </c>
      <c r="O53" s="554">
        <f>Financing!AO26</f>
        <v>20480000.000000004</v>
      </c>
    </row>
    <row r="54" spans="1:17">
      <c r="A54" s="480"/>
      <c r="B54" s="480"/>
      <c r="C54" s="484" t="s">
        <v>62</v>
      </c>
      <c r="D54" s="480" t="s">
        <v>308</v>
      </c>
      <c r="E54" s="480" t="s">
        <v>309</v>
      </c>
      <c r="F54" s="552"/>
      <c r="G54" s="552"/>
      <c r="H54" s="552"/>
      <c r="I54" s="552"/>
      <c r="J54" s="552"/>
      <c r="K54" s="552"/>
      <c r="L54" s="552"/>
      <c r="M54" s="552"/>
      <c r="N54" s="552"/>
      <c r="O54" s="552"/>
    </row>
    <row r="55" spans="1:17">
      <c r="A55" s="480"/>
      <c r="B55" s="480"/>
      <c r="C55" s="483" t="s">
        <v>21</v>
      </c>
      <c r="D55" s="480" t="s">
        <v>310</v>
      </c>
      <c r="E55" s="480" t="s">
        <v>311</v>
      </c>
      <c r="F55" s="552"/>
      <c r="G55" s="552"/>
      <c r="H55" s="552"/>
      <c r="I55" s="552"/>
      <c r="J55" s="552"/>
      <c r="K55" s="552"/>
      <c r="L55" s="552"/>
      <c r="M55" s="552"/>
      <c r="N55" s="552"/>
      <c r="O55" s="552"/>
    </row>
    <row r="56" spans="1:17">
      <c r="A56" s="480"/>
      <c r="B56" s="480"/>
      <c r="C56" s="484" t="s">
        <v>62</v>
      </c>
      <c r="D56" s="480" t="s">
        <v>60</v>
      </c>
      <c r="E56" s="480" t="s">
        <v>61</v>
      </c>
      <c r="F56" s="552"/>
      <c r="G56" s="552"/>
      <c r="H56" s="552"/>
      <c r="I56" s="552"/>
      <c r="J56" s="552"/>
      <c r="K56" s="552"/>
      <c r="L56" s="552"/>
      <c r="M56" s="552"/>
      <c r="N56" s="552"/>
      <c r="O56" s="552"/>
    </row>
    <row r="57" spans="1:17">
      <c r="A57" s="480"/>
      <c r="B57" s="480"/>
      <c r="C57" s="483" t="s">
        <v>44</v>
      </c>
      <c r="D57" s="480" t="s">
        <v>301</v>
      </c>
      <c r="E57" s="480" t="s">
        <v>312</v>
      </c>
      <c r="F57" s="552"/>
      <c r="G57" s="552"/>
      <c r="H57" s="552"/>
      <c r="I57" s="552"/>
      <c r="J57" s="552"/>
      <c r="K57" s="552"/>
      <c r="L57" s="552"/>
      <c r="M57" s="552"/>
      <c r="N57" s="552"/>
      <c r="O57" s="552"/>
    </row>
    <row r="58" spans="1:17">
      <c r="A58" s="480"/>
      <c r="B58" s="480"/>
      <c r="C58" s="483" t="s">
        <v>53</v>
      </c>
      <c r="D58" s="480" t="s">
        <v>303</v>
      </c>
      <c r="E58" s="480" t="s">
        <v>304</v>
      </c>
      <c r="F58" s="552"/>
      <c r="G58" s="552"/>
      <c r="H58" s="552"/>
      <c r="I58" s="552"/>
      <c r="J58" s="552"/>
      <c r="K58" s="552"/>
      <c r="L58" s="552"/>
      <c r="M58" s="552"/>
      <c r="N58" s="552"/>
      <c r="O58" s="552"/>
    </row>
    <row r="59" spans="1:17">
      <c r="A59" s="480"/>
      <c r="B59" s="480"/>
      <c r="C59" s="570" t="s">
        <v>6</v>
      </c>
      <c r="D59" s="547" t="s">
        <v>313</v>
      </c>
      <c r="E59" s="547" t="s">
        <v>314</v>
      </c>
      <c r="F59" s="567">
        <f t="shared" ref="F59:K59" si="30">F37+F40-F52</f>
        <v>-3604000</v>
      </c>
      <c r="G59" s="567">
        <f t="shared" si="30"/>
        <v>-275642596</v>
      </c>
      <c r="H59" s="567">
        <f t="shared" si="30"/>
        <v>-65788046.299999923</v>
      </c>
      <c r="I59" s="567">
        <f t="shared" si="30"/>
        <v>121516432.10850003</v>
      </c>
      <c r="J59" s="567">
        <f t="shared" si="30"/>
        <v>207609710.37802243</v>
      </c>
      <c r="K59" s="567">
        <f t="shared" si="30"/>
        <v>239684449.30946475</v>
      </c>
      <c r="L59" s="567">
        <f>L37+L40-L52</f>
        <v>228671258.53874874</v>
      </c>
      <c r="M59" s="567">
        <f>M37+M40-M52</f>
        <v>303023310.43266106</v>
      </c>
      <c r="N59" s="567">
        <f>N37+N40-N52</f>
        <v>365626763.23727846</v>
      </c>
      <c r="O59" s="567">
        <f>O37+O40-O52</f>
        <v>418789928.74132496</v>
      </c>
      <c r="P59" s="10"/>
      <c r="Q59" s="10"/>
    </row>
    <row r="60" spans="1:17">
      <c r="A60" s="480"/>
      <c r="B60" s="480"/>
      <c r="C60" s="485" t="s">
        <v>315</v>
      </c>
      <c r="D60" s="480" t="s">
        <v>316</v>
      </c>
      <c r="E60" s="480" t="s">
        <v>317</v>
      </c>
      <c r="F60" s="564">
        <f>Analysis!C31</f>
        <v>0</v>
      </c>
      <c r="G60" s="564">
        <f>Analysis!D31</f>
        <v>0</v>
      </c>
      <c r="H60" s="564">
        <f>Analysis!E31</f>
        <v>0</v>
      </c>
      <c r="I60" s="564">
        <f>Analysis!F31</f>
        <v>0</v>
      </c>
      <c r="J60" s="564">
        <f>Analysis!G31</f>
        <v>0</v>
      </c>
      <c r="K60" s="564">
        <f>Analysis!H31</f>
        <v>38717430.404237561</v>
      </c>
      <c r="L60" s="564">
        <f>Analysis!I31</f>
        <v>39647539.122362264</v>
      </c>
      <c r="M60" s="564">
        <f>Analysis!J31</f>
        <v>53774428.9822056</v>
      </c>
      <c r="N60" s="564">
        <f>Analysis!K31</f>
        <v>65669085.015082911</v>
      </c>
      <c r="O60" s="564">
        <f>Analysis!L31</f>
        <v>75770086.460851744</v>
      </c>
    </row>
    <row r="61" spans="1:17">
      <c r="A61" s="480"/>
      <c r="B61" s="480"/>
      <c r="C61" s="485" t="s">
        <v>318</v>
      </c>
      <c r="D61" s="480" t="s">
        <v>319</v>
      </c>
      <c r="E61" s="480" t="s">
        <v>596</v>
      </c>
      <c r="F61" s="554"/>
      <c r="G61" s="554">
        <f>Assumptions!B81</f>
        <v>3800000</v>
      </c>
      <c r="H61" s="554">
        <f>Assumptions!B81</f>
        <v>3800000</v>
      </c>
      <c r="I61" s="554">
        <f>Assumptions!B81</f>
        <v>3800000</v>
      </c>
      <c r="J61" s="554">
        <f>Assumptions!B81</f>
        <v>3800000</v>
      </c>
      <c r="K61" s="554">
        <f>Assumptions!B81</f>
        <v>3800000</v>
      </c>
      <c r="L61" s="554">
        <f>Assumptions!B81</f>
        <v>3800000</v>
      </c>
      <c r="M61" s="554">
        <f>Assumptions!B81</f>
        <v>3800000</v>
      </c>
      <c r="N61" s="554">
        <f>Assumptions!B81</f>
        <v>3800000</v>
      </c>
      <c r="O61" s="554">
        <f>Assumptions!B81</f>
        <v>3800000</v>
      </c>
      <c r="P61" s="10"/>
    </row>
    <row r="62" spans="1:17" ht="15" thickBot="1">
      <c r="A62" s="480"/>
      <c r="B62" s="480"/>
      <c r="C62" s="507" t="s">
        <v>320</v>
      </c>
      <c r="D62" s="508" t="s">
        <v>321</v>
      </c>
      <c r="E62" s="508" t="s">
        <v>322</v>
      </c>
      <c r="F62" s="556">
        <f>F59-F60-F61</f>
        <v>-3604000</v>
      </c>
      <c r="G62" s="556">
        <f>G59-G60-G61</f>
        <v>-279442596</v>
      </c>
      <c r="H62" s="556">
        <f t="shared" ref="H62:K62" si="31">H59-H60-H61</f>
        <v>-69588046.299999923</v>
      </c>
      <c r="I62" s="556">
        <f t="shared" si="31"/>
        <v>117716432.10850003</v>
      </c>
      <c r="J62" s="556">
        <f t="shared" si="31"/>
        <v>203809710.37802243</v>
      </c>
      <c r="K62" s="556">
        <f t="shared" si="31"/>
        <v>197167018.90522718</v>
      </c>
      <c r="L62" s="556">
        <f>L59-L60-L61</f>
        <v>185223719.41638649</v>
      </c>
      <c r="M62" s="556">
        <f>M59-M60-M61</f>
        <v>245448881.45045546</v>
      </c>
      <c r="N62" s="556">
        <f>N59-N60-N61</f>
        <v>296157678.22219557</v>
      </c>
      <c r="O62" s="556">
        <f>O59-O60-O61</f>
        <v>339219842.28047323</v>
      </c>
    </row>
    <row r="63" spans="1:17" ht="15" thickTop="1">
      <c r="A63" s="480"/>
      <c r="B63" s="480"/>
      <c r="C63" s="480"/>
      <c r="D63" s="480"/>
      <c r="E63" s="480"/>
      <c r="F63" s="481"/>
      <c r="G63" s="481"/>
      <c r="H63" s="481"/>
      <c r="I63" s="481"/>
      <c r="J63" s="481"/>
      <c r="K63" s="481"/>
      <c r="L63" s="481"/>
      <c r="M63" s="481"/>
      <c r="N63" s="481"/>
      <c r="O63" s="481"/>
    </row>
    <row r="64" spans="1:17">
      <c r="A64" s="480"/>
      <c r="B64" s="480"/>
      <c r="C64" s="480"/>
      <c r="D64" s="480"/>
      <c r="E64" s="480"/>
      <c r="F64" s="480"/>
      <c r="G64" s="480"/>
      <c r="H64" s="480"/>
      <c r="I64" s="480"/>
      <c r="J64" s="480"/>
      <c r="K64" s="480"/>
      <c r="L64" s="480"/>
      <c r="M64" s="480"/>
      <c r="N64" s="480"/>
      <c r="O64" s="480"/>
    </row>
    <row r="65" spans="1:15">
      <c r="A65" s="480"/>
      <c r="B65" s="480"/>
      <c r="C65" s="480"/>
      <c r="D65" s="480"/>
      <c r="E65" s="480"/>
      <c r="F65" s="480"/>
      <c r="G65" s="480"/>
      <c r="H65" s="480"/>
      <c r="I65" s="480"/>
      <c r="J65" s="480"/>
      <c r="K65" s="480"/>
      <c r="L65" s="480"/>
      <c r="M65" s="480"/>
      <c r="N65" s="480"/>
      <c r="O65" s="480"/>
    </row>
    <row r="66" spans="1:15">
      <c r="A66" s="480"/>
      <c r="B66" s="480"/>
      <c r="C66" s="566"/>
      <c r="D66" s="504" t="s">
        <v>283</v>
      </c>
      <c r="E66" s="504" t="s">
        <v>284</v>
      </c>
      <c r="F66" s="551">
        <f>F37</f>
        <v>-3604000</v>
      </c>
      <c r="G66" s="551">
        <f t="shared" ref="G66:J66" si="32">G37</f>
        <v>-91322596</v>
      </c>
      <c r="H66" s="551">
        <f t="shared" si="32"/>
        <v>98051953.700000048</v>
      </c>
      <c r="I66" s="551">
        <f t="shared" si="32"/>
        <v>264876432.1085</v>
      </c>
      <c r="J66" s="551">
        <f t="shared" si="32"/>
        <v>330489710.37802243</v>
      </c>
      <c r="K66" s="551">
        <f t="shared" ref="K66" si="33">K37</f>
        <v>342084449.30946475</v>
      </c>
      <c r="L66" s="551">
        <f>L37</f>
        <v>310591258.53874874</v>
      </c>
      <c r="M66" s="551">
        <f>M37</f>
        <v>364463310.43266106</v>
      </c>
      <c r="N66" s="551">
        <f>N37</f>
        <v>406586763.23727846</v>
      </c>
      <c r="O66" s="551">
        <f>O37</f>
        <v>439269928.74132496</v>
      </c>
    </row>
    <row r="67" spans="1:15">
      <c r="A67" s="480"/>
      <c r="B67" s="480"/>
      <c r="C67" s="504"/>
      <c r="D67" s="504" t="s">
        <v>285</v>
      </c>
      <c r="E67" s="504" t="s">
        <v>285</v>
      </c>
      <c r="F67" s="551">
        <f>F38</f>
        <v>-3604000</v>
      </c>
      <c r="G67" s="551">
        <f>G38</f>
        <v>549682404</v>
      </c>
      <c r="H67" s="551">
        <f t="shared" ref="H67:I67" si="34">H38</f>
        <v>629844953.70000005</v>
      </c>
      <c r="I67" s="551">
        <f t="shared" si="34"/>
        <v>709102957.1085</v>
      </c>
      <c r="J67" s="551">
        <f>J38</f>
        <v>704475641.62802243</v>
      </c>
      <c r="K67" s="551">
        <f>K38</f>
        <v>699699585.74696469</v>
      </c>
      <c r="L67" s="551">
        <f>L38</f>
        <v>694940153.47937369</v>
      </c>
      <c r="M67" s="551">
        <f>M38</f>
        <v>690037938.24375486</v>
      </c>
      <c r="N67" s="551">
        <f>N38</f>
        <v>684988656.55106759</v>
      </c>
      <c r="O67" s="551">
        <f>O38</f>
        <v>679787896.40759957</v>
      </c>
    </row>
    <row r="68" spans="1:15">
      <c r="A68" s="480"/>
      <c r="B68" s="480"/>
      <c r="C68" s="505"/>
      <c r="D68" s="505" t="s">
        <v>286</v>
      </c>
      <c r="E68" s="505" t="s">
        <v>584</v>
      </c>
      <c r="F68" s="563">
        <v>0</v>
      </c>
      <c r="G68" s="563">
        <f t="shared" ref="G68:J68" si="35">G39</f>
        <v>0.81056150892743895</v>
      </c>
      <c r="H68" s="563">
        <f t="shared" si="35"/>
        <v>0.81267303319705564</v>
      </c>
      <c r="I68" s="563">
        <f t="shared" si="35"/>
        <v>0.81327789586888299</v>
      </c>
      <c r="J68" s="563">
        <f t="shared" si="35"/>
        <v>0.80797077740356193</v>
      </c>
      <c r="K68" s="563">
        <f t="shared" ref="K68" si="36">K39</f>
        <v>0.80249306695466227</v>
      </c>
      <c r="L68" s="563">
        <f>L39</f>
        <v>0.79703442230889665</v>
      </c>
      <c r="M68" s="563">
        <f>M39</f>
        <v>0.79141201832375796</v>
      </c>
      <c r="N68" s="563">
        <f>N39</f>
        <v>0.78562094221906531</v>
      </c>
      <c r="O68" s="563">
        <f>O39</f>
        <v>0.77965613383123167</v>
      </c>
    </row>
    <row r="69" spans="1:15">
      <c r="A69" s="480"/>
      <c r="B69" s="480"/>
      <c r="C69" s="480"/>
      <c r="D69" s="480" t="s">
        <v>583</v>
      </c>
      <c r="E69" s="480" t="s">
        <v>583</v>
      </c>
      <c r="F69" s="552">
        <v>0</v>
      </c>
      <c r="G69" s="552">
        <f>G59+G16</f>
        <v>365362404</v>
      </c>
      <c r="H69" s="552">
        <f>H59+H16</f>
        <v>466004953.70000005</v>
      </c>
      <c r="I69" s="552">
        <f>I59+I16</f>
        <v>565742957.1085</v>
      </c>
      <c r="J69" s="552">
        <f>J59+J16</f>
        <v>581595641.62802243</v>
      </c>
      <c r="K69" s="552">
        <f>K59+K16</f>
        <v>597299585.74696469</v>
      </c>
      <c r="L69" s="552">
        <f>L59+L16</f>
        <v>613020153.47937369</v>
      </c>
      <c r="M69" s="552">
        <f>M59+M16</f>
        <v>628597938.24375486</v>
      </c>
      <c r="N69" s="552">
        <f>N59+N16</f>
        <v>644028656.55106759</v>
      </c>
      <c r="O69" s="552">
        <f>O59+O16</f>
        <v>659307896.40759957</v>
      </c>
    </row>
    <row r="70" spans="1:15">
      <c r="A70" s="480"/>
      <c r="B70" s="480"/>
      <c r="C70" s="505"/>
      <c r="D70" s="505"/>
      <c r="E70" s="505" t="s">
        <v>598</v>
      </c>
      <c r="F70" s="563">
        <v>0</v>
      </c>
      <c r="G70" s="563">
        <f>G69/G7</f>
        <v>0.5387632919237425</v>
      </c>
      <c r="H70" s="563">
        <f>H69/H7</f>
        <v>0.60127441997195841</v>
      </c>
      <c r="I70" s="563">
        <f>I69/I7</f>
        <v>0.6488567522493629</v>
      </c>
      <c r="J70" s="563">
        <f>J69/J7</f>
        <v>0.66703836858683041</v>
      </c>
      <c r="K70" s="563">
        <f>K69/K7</f>
        <v>0.68504939294071943</v>
      </c>
      <c r="L70" s="563">
        <f>L69/L7</f>
        <v>0.70307948309774237</v>
      </c>
      <c r="M70" s="563">
        <f>M69/M7</f>
        <v>0.72094581391539225</v>
      </c>
      <c r="N70" s="563">
        <f>N69/N7</f>
        <v>0.73864347261348806</v>
      </c>
      <c r="O70" s="563">
        <f>O69/O7</f>
        <v>0.75616739902844299</v>
      </c>
    </row>
    <row r="81" spans="5:16">
      <c r="E81" s="106"/>
      <c r="F81" s="107"/>
      <c r="G81" s="107"/>
      <c r="H81" s="107"/>
      <c r="I81" s="107"/>
      <c r="J81" s="107"/>
      <c r="K81" s="107"/>
      <c r="L81" s="107"/>
      <c r="M81" s="107"/>
      <c r="N81" s="107"/>
      <c r="O81" s="107"/>
      <c r="P81" s="108"/>
    </row>
    <row r="82" spans="5:16">
      <c r="E82" s="106"/>
      <c r="F82" s="107"/>
      <c r="G82" s="107"/>
      <c r="H82" s="107"/>
      <c r="I82" s="107"/>
      <c r="J82" s="107"/>
      <c r="K82" s="107"/>
      <c r="L82" s="107"/>
      <c r="M82" s="107"/>
      <c r="N82" s="107"/>
      <c r="O82" s="107"/>
      <c r="P82" s="108"/>
    </row>
    <row r="83" spans="5:16">
      <c r="E83" s="106"/>
      <c r="F83" s="107"/>
      <c r="G83" s="107"/>
      <c r="H83" s="107"/>
      <c r="I83" s="107"/>
      <c r="J83" s="107"/>
      <c r="K83" s="107"/>
      <c r="L83" s="107"/>
      <c r="M83" s="107"/>
      <c r="N83" s="107"/>
      <c r="O83" s="107"/>
      <c r="P83" s="108"/>
    </row>
    <row r="84" spans="5:16">
      <c r="E84" s="106"/>
      <c r="F84" s="107"/>
      <c r="G84" s="107"/>
      <c r="H84" s="107"/>
      <c r="I84" s="107"/>
      <c r="J84" s="107"/>
      <c r="K84" s="107"/>
      <c r="L84" s="107"/>
      <c r="M84" s="107"/>
      <c r="N84" s="107"/>
      <c r="O84" s="107"/>
      <c r="P84" s="108"/>
    </row>
    <row r="85" spans="5:16">
      <c r="E85" s="106"/>
      <c r="F85" s="107"/>
      <c r="G85" s="107"/>
      <c r="H85" s="107"/>
      <c r="I85" s="107"/>
      <c r="J85" s="107"/>
      <c r="K85" s="107"/>
      <c r="L85" s="107"/>
      <c r="M85" s="107"/>
      <c r="N85" s="107"/>
      <c r="O85" s="107"/>
      <c r="P85" s="108"/>
    </row>
    <row r="86" spans="5:16">
      <c r="E86" s="106"/>
      <c r="F86" s="107"/>
      <c r="G86" s="107"/>
      <c r="H86" s="107"/>
      <c r="I86" s="107"/>
      <c r="J86" s="107"/>
      <c r="K86" s="107"/>
      <c r="L86" s="107"/>
      <c r="M86" s="107"/>
      <c r="N86" s="107"/>
      <c r="O86" s="107"/>
      <c r="P86" s="108"/>
    </row>
    <row r="87" spans="5:16">
      <c r="E87" s="106"/>
      <c r="F87" s="107"/>
      <c r="G87" s="107"/>
      <c r="H87" s="107"/>
      <c r="I87" s="107"/>
      <c r="J87" s="107"/>
      <c r="K87" s="107"/>
      <c r="L87" s="107"/>
      <c r="M87" s="107"/>
      <c r="N87" s="107"/>
      <c r="O87" s="107"/>
      <c r="P87" s="108"/>
    </row>
    <row r="88" spans="5:16">
      <c r="E88" s="106"/>
      <c r="F88" s="107"/>
      <c r="G88" s="107"/>
      <c r="H88" s="107"/>
      <c r="I88" s="107"/>
      <c r="J88" s="107"/>
      <c r="K88" s="107"/>
      <c r="L88" s="107"/>
      <c r="M88" s="107"/>
      <c r="N88" s="107"/>
      <c r="O88" s="107"/>
      <c r="P88" s="108"/>
    </row>
    <row r="89" spans="5:16">
      <c r="E89" s="106"/>
      <c r="F89" s="107"/>
      <c r="G89" s="107"/>
      <c r="H89" s="107"/>
      <c r="I89" s="107"/>
      <c r="J89" s="107"/>
      <c r="K89" s="107"/>
      <c r="L89" s="107"/>
      <c r="M89" s="107"/>
      <c r="N89" s="107"/>
      <c r="O89" s="107"/>
      <c r="P89" s="108"/>
    </row>
    <row r="90" spans="5:16">
      <c r="E90" s="106"/>
      <c r="F90" s="107"/>
      <c r="G90" s="107"/>
      <c r="H90" s="107"/>
      <c r="I90" s="107"/>
      <c r="J90" s="107"/>
      <c r="K90" s="107"/>
      <c r="L90" s="107"/>
      <c r="M90" s="107"/>
      <c r="N90" s="107"/>
      <c r="O90" s="107"/>
      <c r="P90" s="108"/>
    </row>
    <row r="91" spans="5:16">
      <c r="E91" s="106"/>
      <c r="F91" s="107"/>
      <c r="G91" s="107"/>
      <c r="H91" s="107"/>
      <c r="I91" s="107"/>
      <c r="J91" s="107"/>
      <c r="K91" s="107"/>
      <c r="L91" s="107"/>
      <c r="M91" s="107"/>
      <c r="N91" s="107"/>
      <c r="O91" s="107"/>
      <c r="P91" s="108"/>
    </row>
    <row r="92" spans="5:16">
      <c r="E92" s="106"/>
      <c r="F92" s="107"/>
      <c r="G92" s="107"/>
      <c r="H92" s="107"/>
      <c r="I92" s="107"/>
      <c r="J92" s="107"/>
      <c r="K92" s="107"/>
      <c r="L92" s="107"/>
      <c r="M92" s="107"/>
      <c r="N92" s="107"/>
      <c r="O92" s="107"/>
      <c r="P92" s="108"/>
    </row>
    <row r="93" spans="5:16">
      <c r="E93" s="106"/>
      <c r="F93" s="107"/>
      <c r="G93" s="107"/>
      <c r="H93" s="107"/>
      <c r="I93" s="107"/>
      <c r="J93" s="107"/>
      <c r="K93" s="107"/>
      <c r="L93" s="107"/>
      <c r="M93" s="107"/>
      <c r="N93" s="107"/>
      <c r="O93" s="107"/>
      <c r="P93" s="108"/>
    </row>
    <row r="94" spans="5:16">
      <c r="E94" s="106"/>
      <c r="F94" s="107"/>
      <c r="G94" s="107"/>
      <c r="H94" s="107"/>
      <c r="I94" s="107"/>
      <c r="J94" s="107"/>
      <c r="K94" s="107"/>
      <c r="L94" s="107"/>
      <c r="M94" s="107"/>
      <c r="N94" s="107"/>
      <c r="O94" s="107"/>
      <c r="P94" s="108"/>
    </row>
    <row r="95" spans="5:16">
      <c r="E95" s="106"/>
      <c r="F95" s="107"/>
      <c r="G95" s="107"/>
      <c r="H95" s="107"/>
      <c r="I95" s="107"/>
      <c r="J95" s="107"/>
      <c r="K95" s="107"/>
      <c r="L95" s="107"/>
      <c r="M95" s="107"/>
      <c r="N95" s="107"/>
      <c r="O95" s="107"/>
      <c r="P95" s="108"/>
    </row>
    <row r="96" spans="5:16">
      <c r="E96" s="106"/>
      <c r="F96" s="107"/>
      <c r="G96" s="107"/>
      <c r="H96" s="107"/>
      <c r="I96" s="107"/>
      <c r="J96" s="107"/>
      <c r="K96" s="107"/>
      <c r="L96" s="107"/>
      <c r="M96" s="107"/>
      <c r="N96" s="107"/>
      <c r="O96" s="107"/>
      <c r="P96" s="108"/>
    </row>
    <row r="97" spans="5:16">
      <c r="E97" s="106"/>
      <c r="F97" s="107"/>
      <c r="G97" s="107"/>
      <c r="H97" s="107"/>
      <c r="I97" s="107"/>
      <c r="J97" s="107"/>
      <c r="K97" s="107"/>
      <c r="L97" s="107"/>
      <c r="M97" s="107"/>
      <c r="N97" s="107"/>
      <c r="O97" s="107"/>
      <c r="P97" s="108"/>
    </row>
    <row r="98" spans="5:16">
      <c r="E98" s="106"/>
      <c r="F98" s="107"/>
      <c r="G98" s="107"/>
      <c r="H98" s="107"/>
      <c r="I98" s="107"/>
      <c r="J98" s="107"/>
      <c r="K98" s="107"/>
      <c r="L98" s="107"/>
      <c r="M98" s="107"/>
      <c r="N98" s="107"/>
      <c r="O98" s="107"/>
      <c r="P98" s="108"/>
    </row>
    <row r="99" spans="5:16">
      <c r="E99" s="106"/>
      <c r="F99" s="107"/>
      <c r="G99" s="107"/>
      <c r="H99" s="107"/>
      <c r="I99" s="107"/>
      <c r="J99" s="107"/>
      <c r="K99" s="107"/>
      <c r="L99" s="107"/>
      <c r="M99" s="107"/>
      <c r="N99" s="107"/>
      <c r="O99" s="107"/>
      <c r="P99" s="108"/>
    </row>
    <row r="100" spans="5:16">
      <c r="E100" s="106"/>
      <c r="F100" s="107"/>
      <c r="G100" s="107"/>
      <c r="H100" s="107"/>
      <c r="I100" s="107"/>
      <c r="J100" s="107"/>
      <c r="K100" s="107"/>
      <c r="L100" s="107"/>
      <c r="M100" s="107"/>
      <c r="N100" s="107"/>
      <c r="O100" s="107"/>
      <c r="P100" s="108"/>
    </row>
    <row r="101" spans="5:16">
      <c r="E101" s="106"/>
      <c r="F101" s="107"/>
      <c r="G101" s="107"/>
      <c r="H101" s="107"/>
      <c r="I101" s="107"/>
      <c r="J101" s="107"/>
      <c r="K101" s="107"/>
      <c r="L101" s="107"/>
      <c r="M101" s="107"/>
      <c r="N101" s="107"/>
      <c r="O101" s="107"/>
      <c r="P101" s="108"/>
    </row>
    <row r="102" spans="5:16">
      <c r="E102" s="106"/>
      <c r="F102" s="107"/>
      <c r="G102" s="107"/>
      <c r="H102" s="107"/>
      <c r="I102" s="107"/>
      <c r="J102" s="107"/>
      <c r="K102" s="107"/>
      <c r="L102" s="107"/>
      <c r="M102" s="107"/>
      <c r="N102" s="107"/>
      <c r="O102" s="107"/>
      <c r="P102" s="108"/>
    </row>
    <row r="103" spans="5:16">
      <c r="E103" s="106"/>
      <c r="F103" s="107"/>
      <c r="G103" s="107"/>
      <c r="H103" s="107"/>
      <c r="I103" s="107"/>
      <c r="J103" s="107"/>
      <c r="K103" s="107"/>
      <c r="L103" s="107"/>
      <c r="M103" s="107"/>
      <c r="N103" s="107"/>
      <c r="O103" s="107"/>
      <c r="P103" s="108"/>
    </row>
    <row r="104" spans="5:16">
      <c r="E104" s="106"/>
      <c r="F104" s="107"/>
      <c r="G104" s="107"/>
      <c r="H104" s="107"/>
      <c r="I104" s="107"/>
      <c r="J104" s="107"/>
      <c r="K104" s="107"/>
      <c r="L104" s="107"/>
      <c r="M104" s="107"/>
      <c r="N104" s="107"/>
      <c r="O104" s="107"/>
      <c r="P104" s="108"/>
    </row>
    <row r="105" spans="5:16">
      <c r="E105" s="106"/>
      <c r="F105" s="107"/>
      <c r="G105" s="107"/>
      <c r="H105" s="107"/>
      <c r="I105" s="107"/>
      <c r="J105" s="107"/>
      <c r="K105" s="107"/>
      <c r="L105" s="107"/>
      <c r="M105" s="107"/>
      <c r="N105" s="107"/>
      <c r="O105" s="107"/>
      <c r="P105" s="108"/>
    </row>
    <row r="106" spans="5:16">
      <c r="E106" s="106"/>
      <c r="F106" s="107"/>
      <c r="G106" s="107"/>
      <c r="H106" s="107"/>
      <c r="I106" s="107"/>
      <c r="J106" s="107"/>
      <c r="K106" s="107"/>
      <c r="L106" s="107"/>
      <c r="M106" s="107"/>
      <c r="N106" s="107"/>
      <c r="O106" s="107"/>
      <c r="P106" s="108"/>
    </row>
    <row r="107" spans="5:16">
      <c r="E107" s="106"/>
      <c r="F107" s="107"/>
      <c r="G107" s="107"/>
      <c r="H107" s="107"/>
      <c r="I107" s="107"/>
      <c r="J107" s="107"/>
      <c r="K107" s="107"/>
      <c r="L107" s="107"/>
      <c r="M107" s="107"/>
      <c r="N107" s="107"/>
      <c r="O107" s="107"/>
      <c r="P107" s="108"/>
    </row>
    <row r="108" spans="5:16">
      <c r="E108" s="106"/>
      <c r="F108" s="107"/>
      <c r="G108" s="107"/>
      <c r="H108" s="107"/>
      <c r="I108" s="107"/>
      <c r="J108" s="107"/>
      <c r="K108" s="107"/>
      <c r="L108" s="107"/>
      <c r="M108" s="107"/>
      <c r="N108" s="107"/>
      <c r="O108" s="107"/>
      <c r="P108" s="108"/>
    </row>
    <row r="109" spans="5:16">
      <c r="E109" s="106"/>
      <c r="F109" s="107"/>
      <c r="G109" s="107"/>
      <c r="H109" s="107"/>
      <c r="I109" s="107"/>
      <c r="J109" s="107"/>
      <c r="K109" s="107"/>
      <c r="L109" s="107"/>
      <c r="M109" s="107"/>
      <c r="N109" s="107"/>
      <c r="O109" s="107"/>
      <c r="P109" s="108"/>
    </row>
    <row r="110" spans="5:16">
      <c r="E110" s="106"/>
      <c r="F110" s="107"/>
      <c r="G110" s="107"/>
      <c r="H110" s="107"/>
      <c r="I110" s="107"/>
      <c r="J110" s="107"/>
      <c r="K110" s="107"/>
      <c r="L110" s="107"/>
      <c r="M110" s="107"/>
      <c r="N110" s="107"/>
      <c r="O110" s="107"/>
      <c r="P110" s="108"/>
    </row>
    <row r="111" spans="5:16">
      <c r="E111" s="106"/>
      <c r="F111" s="107"/>
      <c r="G111" s="107"/>
      <c r="H111" s="107"/>
      <c r="I111" s="107"/>
      <c r="J111" s="107"/>
      <c r="K111" s="107"/>
      <c r="L111" s="107"/>
      <c r="M111" s="107"/>
      <c r="N111" s="107"/>
      <c r="O111" s="107"/>
      <c r="P111" s="108"/>
    </row>
    <row r="112" spans="5:16">
      <c r="E112" s="106"/>
      <c r="F112" s="107"/>
      <c r="G112" s="107"/>
      <c r="H112" s="107"/>
      <c r="I112" s="107"/>
      <c r="J112" s="107"/>
      <c r="K112" s="107"/>
      <c r="L112" s="107"/>
      <c r="M112" s="107"/>
      <c r="N112" s="107"/>
      <c r="O112" s="107"/>
      <c r="P112" s="108"/>
    </row>
    <row r="113" spans="5:16">
      <c r="E113" s="106"/>
      <c r="F113" s="107"/>
      <c r="G113" s="107"/>
      <c r="H113" s="107"/>
      <c r="I113" s="107"/>
      <c r="J113" s="107"/>
      <c r="K113" s="107"/>
      <c r="L113" s="107"/>
      <c r="M113" s="107"/>
      <c r="N113" s="107"/>
      <c r="O113" s="107"/>
      <c r="P113" s="108"/>
    </row>
    <row r="114" spans="5:16">
      <c r="E114" s="106"/>
      <c r="F114" s="107"/>
      <c r="G114" s="107"/>
      <c r="H114" s="107"/>
      <c r="I114" s="107"/>
      <c r="J114" s="107"/>
      <c r="K114" s="107"/>
      <c r="L114" s="107"/>
      <c r="M114" s="107"/>
      <c r="N114" s="107"/>
      <c r="O114" s="107"/>
      <c r="P114" s="108"/>
    </row>
    <row r="115" spans="5:16">
      <c r="E115" s="106"/>
      <c r="F115" s="107"/>
      <c r="G115" s="107"/>
      <c r="H115" s="107"/>
      <c r="I115" s="107"/>
      <c r="J115" s="107"/>
      <c r="K115" s="107"/>
      <c r="L115" s="107"/>
      <c r="M115" s="107"/>
      <c r="N115" s="107"/>
      <c r="O115" s="107"/>
      <c r="P115" s="108"/>
    </row>
    <row r="116" spans="5:16">
      <c r="E116" s="106"/>
      <c r="F116" s="107"/>
      <c r="G116" s="107"/>
      <c r="H116" s="107"/>
      <c r="I116" s="107"/>
      <c r="J116" s="107"/>
      <c r="K116" s="107"/>
      <c r="L116" s="107"/>
      <c r="M116" s="107"/>
      <c r="N116" s="107"/>
      <c r="O116" s="107"/>
      <c r="P116" s="108"/>
    </row>
    <row r="117" spans="5:16">
      <c r="E117" s="106"/>
      <c r="F117" s="107"/>
      <c r="G117" s="107"/>
      <c r="H117" s="107"/>
      <c r="I117" s="107"/>
      <c r="J117" s="107"/>
      <c r="K117" s="107"/>
      <c r="L117" s="107"/>
      <c r="M117" s="107"/>
      <c r="N117" s="107"/>
      <c r="O117" s="107"/>
      <c r="P117" s="108"/>
    </row>
    <row r="118" spans="5:16">
      <c r="E118" s="106"/>
      <c r="F118" s="107"/>
      <c r="G118" s="107"/>
      <c r="H118" s="107"/>
      <c r="I118" s="107"/>
      <c r="J118" s="107"/>
      <c r="K118" s="107"/>
      <c r="L118" s="107"/>
      <c r="M118" s="107"/>
      <c r="N118" s="107"/>
      <c r="O118" s="107"/>
      <c r="P118" s="108"/>
    </row>
    <row r="119" spans="5:16">
      <c r="E119" s="106"/>
      <c r="F119" s="107"/>
      <c r="G119" s="107"/>
      <c r="H119" s="107"/>
      <c r="I119" s="107"/>
      <c r="J119" s="107"/>
      <c r="K119" s="107"/>
      <c r="L119" s="107"/>
      <c r="M119" s="107"/>
      <c r="N119" s="107"/>
      <c r="O119" s="107"/>
      <c r="P119" s="108"/>
    </row>
    <row r="120" spans="5:16">
      <c r="E120" s="106"/>
      <c r="F120" s="107"/>
      <c r="G120" s="107"/>
      <c r="H120" s="107"/>
      <c r="I120" s="107"/>
      <c r="J120" s="107"/>
      <c r="K120" s="107"/>
      <c r="L120" s="107"/>
      <c r="M120" s="107"/>
      <c r="N120" s="107"/>
      <c r="O120" s="107"/>
      <c r="P120" s="108"/>
    </row>
    <row r="121" spans="5:16">
      <c r="E121" s="106"/>
      <c r="F121" s="107"/>
      <c r="G121" s="107"/>
      <c r="H121" s="107"/>
      <c r="I121" s="107"/>
      <c r="J121" s="107"/>
      <c r="K121" s="107"/>
      <c r="L121" s="107"/>
      <c r="M121" s="107"/>
      <c r="N121" s="107"/>
      <c r="O121" s="107"/>
      <c r="P121" s="108"/>
    </row>
    <row r="122" spans="5:16">
      <c r="E122" s="106"/>
      <c r="F122" s="107"/>
      <c r="G122" s="107"/>
      <c r="H122" s="107"/>
      <c r="I122" s="107"/>
      <c r="J122" s="107"/>
      <c r="K122" s="107"/>
      <c r="L122" s="107"/>
      <c r="M122" s="107"/>
      <c r="N122" s="107"/>
      <c r="O122" s="107"/>
      <c r="P122" s="108"/>
    </row>
    <row r="123" spans="5:16">
      <c r="E123" s="106"/>
      <c r="F123" s="107"/>
      <c r="G123" s="107"/>
      <c r="H123" s="107"/>
      <c r="I123" s="107"/>
      <c r="J123" s="107"/>
      <c r="K123" s="107"/>
      <c r="L123" s="107"/>
      <c r="M123" s="107"/>
      <c r="N123" s="107"/>
      <c r="O123" s="107"/>
      <c r="P123" s="108"/>
    </row>
    <row r="124" spans="5:16">
      <c r="E124" s="106"/>
      <c r="F124" s="107"/>
      <c r="G124" s="107"/>
      <c r="H124" s="107"/>
      <c r="I124" s="107"/>
      <c r="J124" s="107"/>
      <c r="K124" s="107"/>
      <c r="L124" s="107"/>
      <c r="M124" s="107"/>
      <c r="N124" s="107"/>
      <c r="O124" s="107"/>
      <c r="P124" s="108"/>
    </row>
    <row r="125" spans="5:16">
      <c r="E125" s="106"/>
      <c r="F125" s="107"/>
      <c r="G125" s="107"/>
      <c r="H125" s="107"/>
      <c r="I125" s="107"/>
      <c r="J125" s="107"/>
      <c r="K125" s="107"/>
      <c r="L125" s="107"/>
      <c r="M125" s="107"/>
      <c r="N125" s="107"/>
      <c r="O125" s="107"/>
      <c r="P125" s="108"/>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Executive Summary</vt:lpstr>
      <vt:lpstr>Assumptions</vt:lpstr>
      <vt:lpstr>DCF Analysis</vt:lpstr>
      <vt:lpstr>IRR Analysis</vt:lpstr>
      <vt:lpstr>Sensitivity</vt:lpstr>
      <vt:lpstr>Investment Metrics</vt:lpstr>
      <vt:lpstr>Analysis</vt:lpstr>
      <vt:lpstr>BS</vt:lpstr>
      <vt:lpstr>P&amp;L</vt:lpstr>
      <vt:lpstr>CF</vt:lpstr>
      <vt:lpstr>NWC</vt:lpstr>
      <vt:lpstr>D&amp;A CAPEX</vt:lpstr>
      <vt:lpstr>Incomes</vt:lpstr>
      <vt:lpstr>Costs</vt:lpstr>
      <vt:lpstr>Financing</vt:lpstr>
      <vt:lpstr>staff</vt:lpstr>
      <vt:lpstr>Leasing</vt:lpstr>
      <vt:lpstr>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 Maćkowiak</dc:creator>
  <cp:keywords/>
  <dc:description/>
  <cp:lastModifiedBy>Amir Damerdji</cp:lastModifiedBy>
  <cp:revision/>
  <dcterms:created xsi:type="dcterms:W3CDTF">2017-04-19T07:47:54Z</dcterms:created>
  <dcterms:modified xsi:type="dcterms:W3CDTF">2026-03-13T03:38:17Z</dcterms:modified>
  <cp:category/>
  <cp:contentStatus/>
</cp:coreProperties>
</file>